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'Sheet1'!$A$1:$R$55</definedName>
  </definedNames>
  <calcPr fullCalcOnLoad="1"/>
</workbook>
</file>

<file path=xl/sharedStrings.xml><?xml version="1.0" encoding="utf-8"?>
<sst xmlns="http://schemas.openxmlformats.org/spreadsheetml/2006/main" count="114" uniqueCount="113">
  <si>
    <t>Наименование объекта, адрес расположения объекта</t>
  </si>
  <si>
    <t>Год ввода в эксплуатацию</t>
  </si>
  <si>
    <t>l</t>
  </si>
  <si>
    <t>16-ти квартирный жилой дом №6, ул.Гагарина</t>
  </si>
  <si>
    <t>12-ти квартирный жилой дом №14, ул.Каменка</t>
  </si>
  <si>
    <t>18-ти квартирный жилой дом №1а, ул.Коммунистическая</t>
  </si>
  <si>
    <t>100- квартирный жилой дом №18, ул. Красноармейская</t>
  </si>
  <si>
    <t>8-ми- квартирный жилой дом №29, ул. Красноармейская</t>
  </si>
  <si>
    <t>18-ти квартирный жилой дом №35, ул. Ленина</t>
  </si>
  <si>
    <t>22-ти квартирный жилой дом №8, ул.Гагарина</t>
  </si>
  <si>
    <t>12-ти квартирный жилой дом №10, ул.Каменка</t>
  </si>
  <si>
    <t>80-ти квартирный жилой дом №13, ул.Каменка</t>
  </si>
  <si>
    <t>80-ти квартирный жилой дом №15, ул. Каменка</t>
  </si>
  <si>
    <t>18-ти квартирный жилой дом №1б, ул.Коммунистическая</t>
  </si>
  <si>
    <t>16-ти квартирный жилой дом №43, ул. Ленина</t>
  </si>
  <si>
    <t>16-ти квартирный жилой дом №45, ул. Ленина</t>
  </si>
  <si>
    <t>16-ти квартирный жилой дом №47, ул.Ленина</t>
  </si>
  <si>
    <t>18-ти квартирный жилой дом №50 ул. Ленина</t>
  </si>
  <si>
    <t xml:space="preserve">18-ти квартирный жилой дом №52, ул.Ленина </t>
  </si>
  <si>
    <t>90-о квартирный жилой дом №53, ул.Ленина</t>
  </si>
  <si>
    <t>18-ти квартирный жилой дом № 54, ул.Ленина</t>
  </si>
  <si>
    <t>60-ти квартирный жилой дом №55, ул.Ленина</t>
  </si>
  <si>
    <t>18-ти квартирный жилой дом №56, ул.Ленина</t>
  </si>
  <si>
    <t>58-ти квартирный жилой дом №57, ул.Ленина</t>
  </si>
  <si>
    <t>18-ти квартирный жилой дом №60, ул.Ленина</t>
  </si>
  <si>
    <t>18-ти квартирный жилой дом №62, ул.Ленина</t>
  </si>
  <si>
    <t>18-ти квартирный жилой дом № 64, ул.Ленина</t>
  </si>
  <si>
    <t>8-ми- квартирный жилой дом №3, ул.Октябрьская</t>
  </si>
  <si>
    <t>11-ти квартирный жилой дом №16, ул.Октябрьская</t>
  </si>
  <si>
    <t>12-ти квартирный жилой дом №2, пер. Предбазарный</t>
  </si>
  <si>
    <t>16-ти квартирный жилой дом №24, ул.Советская</t>
  </si>
  <si>
    <t>8-ми квартирный жилой дом №1, ул.Социалистическая</t>
  </si>
  <si>
    <t>80-ти квартирный жилой дом №3, ул.Социалистическая</t>
  </si>
  <si>
    <t>18-ти квартирный жилой дом № 5А, ул.Социалистическая</t>
  </si>
  <si>
    <t>18-ти квартирный жилой дом № 7А, ул.Социалистическая</t>
  </si>
  <si>
    <t>18-ти квартирный жилой дом №9, ул.Социалистическая</t>
  </si>
  <si>
    <t>79-ти квартирный жилой дом №11, ул.Социалистическая</t>
  </si>
  <si>
    <t xml:space="preserve">80-ти квартирный жилой дом №4, ул.Школьная </t>
  </si>
  <si>
    <t>18-ти квартирный жилой дом № 6, ул.Школьная</t>
  </si>
  <si>
    <t>Итого по многоквартирным жилым домам:</t>
  </si>
  <si>
    <t xml:space="preserve">8-ми- квартирный жилой дом №2А, ул.Марьинская </t>
  </si>
  <si>
    <t>8-ми- квартирный жилой дом №27, ул. Красноармейская</t>
  </si>
  <si>
    <t>60-ти квартирный жилой дом №33, ул. Ленина</t>
  </si>
  <si>
    <t>4-х квартирный жилой дом №37, ул. Ленина</t>
  </si>
  <si>
    <t>51- квартирный жилой дом № 25, ул. Красноармейская</t>
  </si>
  <si>
    <t>33-х квартирный жилой дом № 63, ул.Ленина</t>
  </si>
  <si>
    <t>12-ти квартирный жилой дом N 68, ул.Ленина</t>
  </si>
  <si>
    <t>Обслуживание фасадных и внутренних газопроводов</t>
  </si>
  <si>
    <t>р.</t>
  </si>
  <si>
    <r>
      <t>Общая площадь, м</t>
    </r>
    <r>
      <rPr>
        <vertAlign val="superscript"/>
        <sz val="9"/>
        <rFont val="Times New Roman"/>
        <family val="1"/>
      </rPr>
      <t>2</t>
    </r>
  </si>
  <si>
    <t>площадь  газа</t>
  </si>
  <si>
    <t>площадь убир двор</t>
  </si>
  <si>
    <t>Итого по домам без затрат по управлению</t>
  </si>
  <si>
    <t xml:space="preserve">Освещение мест общего пользования </t>
  </si>
  <si>
    <t>СОДЕРЖАНИЕ И РЕМОНТ МЕСТ ОБЩЕГО ПОЛЬЗОВАНИЯ МНОГОКВАРТИРНЫХ ДОМОВ В П. КАРДЫМОВО</t>
  </si>
  <si>
    <t>Текущий ремонт инженерного оборудования ***</t>
  </si>
  <si>
    <t>Текущий ремонт конструктивных элементов ****</t>
  </si>
  <si>
    <t>Замена дверного блока - 21300р.</t>
  </si>
  <si>
    <t>Ремонт кровли 740 кв.м - 543200р.</t>
  </si>
  <si>
    <t>Выборочн. ремонт кровли 180 кв.м - 62860,76р.;          Кап.рем. кровли 525 кв.м - 428300,0р.</t>
  </si>
  <si>
    <t>Выборочный ремонт кровли 160 кв.м - 55876,24р.;                   Кап.рем. кровли 529 кв.м430500,0</t>
  </si>
  <si>
    <t xml:space="preserve">Установка козырьков - 13400р.;                              </t>
  </si>
  <si>
    <t>Ремонт кровли 288 кв.м - 77680р.;                                                       Установка 3-х дверных блоков - 43410р.</t>
  </si>
  <si>
    <t>Установка дверного блока - 33350р.</t>
  </si>
  <si>
    <t>Ремонт кровли 1321кв.м - 640643р.;                                      Установка 4-х дверных блоков - 58000р.</t>
  </si>
  <si>
    <t>Ремонт кровли 1321кв.м - 606284р.;                         Установка 4-х  дверных блоков - 60000р.</t>
  </si>
  <si>
    <t>Ремонт кровли 838 кв.м - 399522р.;                            Установка 3-х дверн.блоков - 62700р.</t>
  </si>
  <si>
    <t>Установка дверных 4-х  блоков - 30000р.</t>
  </si>
  <si>
    <t>Установка дверного блока и козырька - 25000р.</t>
  </si>
  <si>
    <t>Установка дверного блока - 17000р.</t>
  </si>
  <si>
    <t>Ремонт кровли 730 кв.м - 330000р.;                                                                   Установка дверного блока - 17000р.</t>
  </si>
  <si>
    <t>Ремонт кровли 750 кв.м - 321000р.;                                  Установка дверного блока - 17000р.</t>
  </si>
  <si>
    <t>Установка козырьков - 28000р.</t>
  </si>
  <si>
    <t>Ремонт кровли 721 кв.м - 311810,49р.;                                          Замена дверного блока - 11400р.;</t>
  </si>
  <si>
    <t>Ремонт кровли 389 кв.м - 184650р.;                                                                   Установка дверного блока - 18693,60р.</t>
  </si>
  <si>
    <t>Ремонт кровли 806 кв.м - 427924р.;                                                 Установка 2-х дверных блоков - 37387,20р.</t>
  </si>
  <si>
    <t>Установка 2-х дверных блоков - 37387,20р.</t>
  </si>
  <si>
    <t>Ремонт кровли 806 кв.м - 302134р.;                                                                      Установка 2-х  дверных блоков - 37387,20р.</t>
  </si>
  <si>
    <t>Ремонт кровли 30 кв.м - 30100р.;                                           Замена 2-х дверных блоков - 28891р.</t>
  </si>
  <si>
    <t>Установка козырька и 2-х  дверных блоков -39300р.</t>
  </si>
  <si>
    <r>
      <t>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</t>
    </r>
  </si>
  <si>
    <t>Установка козырьков - 29080р.;                                       Установка 4-х дверных  блоков - 32000р.;                                  Замена перил - 59500р.</t>
  </si>
  <si>
    <t>Ремонт кровли 610 кв.м - 326703р.;                                  Установка 2-х дверных блоков - 26240р.</t>
  </si>
  <si>
    <t>Установка 3-х дверных блоков - 39360р.;                             Ремонт кровли 809 кв.м - 398400р.</t>
  </si>
  <si>
    <t>Ремонт кровли 830 кв.м - 372270р.;                       Установка 3-х дверных блоков - 39000р.</t>
  </si>
  <si>
    <t>Ремонт кровли 1629 кв.м - 640571р.;                      Установка  5-ти дверных блоков - 56000р.</t>
  </si>
  <si>
    <t>**- заработная плата уборщиков мест общего пользования, обязательные отчисления ЕСН,социальные выплаты, спецодежда, инвентарь.</t>
  </si>
  <si>
    <t>***- виды работ: прочистка дворовой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электрооборудования.</t>
  </si>
  <si>
    <t>****- виды работ: очистка кровель от снега и наледи, выборочный ремонт кровель,остекление окон, ремонт подъездов, прочистка вентиляционных и дымовых каналов, ремонт крылец, отмосток, козырьков и др.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</si>
  <si>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</si>
  <si>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</si>
  <si>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</si>
  <si>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</si>
  <si>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</si>
  <si>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</si>
  <si>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</si>
  <si>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</si>
  <si>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</si>
  <si>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</si>
  <si>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 xml:space="preserve">Сведения о выполненных работах по капитальному ремонту конструктивных элементов 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</si>
  <si>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</si>
  <si>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Ремонт кровли 1326 кв.м - 554212р.;                                Установка 4-х дверных   блоков - 62800р.;                               Ремонт межпанельных стыков 158п/м - 50503р.;                                    Установка коллективной антенны - 39000р.</t>
  </si>
  <si>
    <t>газ оплач в 2012г.</t>
  </si>
  <si>
    <t>Ремонт кровли 820 кв.м - 331900р.                                установка 3-х дверных блоков - 49800р.</t>
  </si>
  <si>
    <t>Ремонт кровли 750 кв.м - 352885р.                                                         установка 3-х дверных блоков - 49800р.</t>
  </si>
  <si>
    <r>
      <t>Установка  4-х дверных блоков - 82100р.;                                               Ремонт кровли 350 кв.м - 80225р.;                                Ремонт межпанельных стыков 56 п/м - 17900р. Капит.ремонт кровли 1360м</t>
    </r>
    <r>
      <rPr>
        <sz val="10"/>
        <rFont val="Calibri"/>
        <family val="2"/>
      </rPr>
      <t>²-1169264 руб.</t>
    </r>
  </si>
  <si>
    <r>
      <t>Установка 3-х дверных блоков - 75900р.                         Ремонт кровли над балконами 5м</t>
    </r>
    <r>
      <rPr>
        <sz val="10"/>
        <rFont val="Calibri"/>
        <family val="2"/>
      </rPr>
      <t>²</t>
    </r>
    <r>
      <rPr>
        <sz val="10"/>
        <rFont val="Arial"/>
        <family val="2"/>
      </rPr>
      <t>-10701руб.</t>
    </r>
  </si>
  <si>
    <t>Установка 4-х дверных блоков - 95240р.                                                  Ремонт кровли над балконами 2м²-4280руб.</t>
  </si>
  <si>
    <t>Установка 4-х дверных блоков - 92600р.                                                                Ремонт кровли над балконами 3м²-6420руб.</t>
  </si>
  <si>
    <t>Установка дверных 4-х  блоков - 30000р.;                                                             Выборочный ремонт кровли 143 кв.м - 36528р. Ремонт межпанельных швов -361181 руб.</t>
  </si>
  <si>
    <r>
      <t>Выбороч. ремонт кровли - 42664,67р.;                                                                                              Капитальный ремонт отмостки - 85393р.                                 Капит. рем. кровли 740м</t>
    </r>
    <r>
      <rPr>
        <sz val="10"/>
        <rFont val="Calibri"/>
        <family val="2"/>
      </rPr>
      <t>²-688433 руб.</t>
    </r>
  </si>
  <si>
    <r>
      <t>Ремонт кровли 150м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-111567 руб.</t>
    </r>
  </si>
  <si>
    <t>СОДЕРЖАНИЕ И РЕМОНТ МЕСТ ОБЩЕГО ПОЛЬЗОВАНИЯ МНОГОКВАРТИРНЫХ ДОМОВ ЗА 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</si>
</sst>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horizontal="left" vertical="top"/>
      <protection/>
    </xf>
    <xf numFmtId="164" fontId="1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164" fontId="0" fillId="0" borderId="18" xfId="0" applyNumberFormat="1" applyFill="1" applyBorder="1" applyAlignment="1" applyProtection="1">
      <alignment horizontal="left" vertical="top" wrapText="1"/>
      <protection/>
    </xf>
    <xf numFmtId="164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164" fontId="9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64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2" fontId="6" fillId="0" borderId="11" xfId="0" applyNumberFormat="1" applyFont="1" applyFill="1" applyBorder="1" applyAlignment="1" applyProtection="1">
      <alignment horizontal="center" vertical="top"/>
      <protection/>
    </xf>
    <xf numFmtId="164" fontId="7" fillId="0" borderId="12" xfId="0" applyNumberFormat="1" applyFont="1" applyFill="1" applyBorder="1" applyAlignment="1" applyProtection="1">
      <alignment horizontal="center" vertical="top"/>
      <protection/>
    </xf>
    <xf numFmtId="0" fontId="1" fillId="33" borderId="14" xfId="0" applyNumberFormat="1" applyFont="1" applyFill="1" applyBorder="1" applyAlignment="1" applyProtection="1">
      <alignment horizontal="center" vertical="top"/>
      <protection/>
    </xf>
    <xf numFmtId="0" fontId="1" fillId="33" borderId="13" xfId="0" applyNumberFormat="1" applyFont="1" applyFill="1" applyBorder="1" applyAlignment="1" applyProtection="1">
      <alignment horizontal="center" vertical="top"/>
      <protection/>
    </xf>
    <xf numFmtId="164" fontId="1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/>
      <protection/>
    </xf>
    <xf numFmtId="0" fontId="7" fillId="33" borderId="25" xfId="0" applyNumberFormat="1" applyFont="1" applyFill="1" applyBorder="1" applyAlignment="1" applyProtection="1">
      <alignment horizontal="center" vertical="top"/>
      <protection/>
    </xf>
    <xf numFmtId="164" fontId="7" fillId="33" borderId="11" xfId="0" applyNumberFormat="1" applyFont="1" applyFill="1" applyBorder="1" applyAlignment="1" applyProtection="1">
      <alignment horizontal="center" vertical="top"/>
      <protection/>
    </xf>
    <xf numFmtId="164" fontId="6" fillId="33" borderId="11" xfId="0" applyNumberFormat="1" applyFont="1" applyFill="1" applyBorder="1" applyAlignment="1" applyProtection="1">
      <alignment horizontal="center" vertical="top"/>
      <protection/>
    </xf>
    <xf numFmtId="0" fontId="6" fillId="33" borderId="11" xfId="0" applyNumberFormat="1" applyFont="1" applyFill="1" applyBorder="1" applyAlignment="1" applyProtection="1">
      <alignment horizontal="center" vertical="top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2" fontId="6" fillId="33" borderId="11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/>
      <protection/>
    </xf>
    <xf numFmtId="164" fontId="9" fillId="33" borderId="23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26" xfId="0" applyNumberFormat="1" applyFont="1" applyFill="1" applyBorder="1" applyAlignment="1" applyProtection="1">
      <alignment horizontal="center" vertical="top"/>
      <protection/>
    </xf>
    <xf numFmtId="0" fontId="11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5" xfId="0" applyNumberFormat="1" applyFont="1" applyFill="1" applyBorder="1" applyAlignment="1" applyProtection="1">
      <alignment horizontal="center" vertical="top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0" fontId="0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49" fillId="33" borderId="0" xfId="0" applyNumberFormat="1" applyFont="1" applyFill="1" applyBorder="1" applyAlignment="1" applyProtection="1">
      <alignment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SheetLayoutView="100" workbookViewId="0" topLeftCell="A1">
      <selection activeCell="B5" sqref="B5:B6"/>
    </sheetView>
  </sheetViews>
  <sheetFormatPr defaultColWidth="9.140625" defaultRowHeight="12.75"/>
  <cols>
    <col min="1" max="1" width="3.8515625" style="0" customWidth="1"/>
    <col min="2" max="2" width="65.8515625" style="0" customWidth="1"/>
    <col min="3" max="3" width="6.421875" style="0" customWidth="1"/>
    <col min="4" max="4" width="8.8515625" style="0" customWidth="1"/>
    <col min="5" max="5" width="11.57421875" style="0" customWidth="1"/>
    <col min="6" max="6" width="12.00390625" style="0" customWidth="1"/>
    <col min="7" max="7" width="10.140625" style="0" customWidth="1"/>
    <col min="8" max="8" width="11.140625" style="0" customWidth="1"/>
    <col min="9" max="9" width="12.8515625" style="0" customWidth="1"/>
    <col min="10" max="10" width="12.00390625" style="0" customWidth="1"/>
    <col min="11" max="11" width="10.57421875" style="0" customWidth="1"/>
    <col min="12" max="12" width="11.00390625" style="0" customWidth="1"/>
    <col min="13" max="13" width="11.57421875" style="0" customWidth="1"/>
    <col min="14" max="14" width="12.7109375" style="0" customWidth="1"/>
    <col min="15" max="15" width="11.421875" style="0" customWidth="1"/>
    <col min="16" max="16" width="10.8515625" style="0" customWidth="1"/>
    <col min="17" max="17" width="12.140625" style="0" customWidth="1"/>
    <col min="18" max="18" width="45.7109375" style="0" customWidth="1"/>
  </cols>
  <sheetData>
    <row r="1" spans="1:15" ht="12.75">
      <c r="A1" s="8"/>
      <c r="D1" s="75"/>
      <c r="E1" s="76"/>
      <c r="F1" s="76"/>
      <c r="G1" s="76" t="s">
        <v>51</v>
      </c>
      <c r="H1" s="76"/>
      <c r="I1" s="76"/>
      <c r="J1" s="76" t="s">
        <v>50</v>
      </c>
      <c r="K1" s="76"/>
      <c r="L1" s="76"/>
      <c r="M1" s="76" t="s">
        <v>102</v>
      </c>
      <c r="N1" s="76"/>
      <c r="O1" s="76"/>
    </row>
    <row r="2" spans="4:15" ht="18" customHeight="1" thickBot="1">
      <c r="D2" s="75"/>
      <c r="E2" s="77">
        <v>2770610.38</v>
      </c>
      <c r="F2" s="77">
        <v>1934307.33</v>
      </c>
      <c r="G2" s="77">
        <v>62182.7</v>
      </c>
      <c r="H2" s="77">
        <v>393502.93</v>
      </c>
      <c r="I2" s="76"/>
      <c r="J2" s="76">
        <v>59209.66</v>
      </c>
      <c r="K2" s="76">
        <v>2295543.11</v>
      </c>
      <c r="L2" s="76"/>
      <c r="M2" s="76">
        <v>57942.22</v>
      </c>
      <c r="N2" s="76" t="s">
        <v>48</v>
      </c>
      <c r="O2" s="76"/>
    </row>
    <row r="3" spans="1:18" ht="17.25" customHeight="1" thickBot="1">
      <c r="A3" s="53" t="s">
        <v>112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 t="s">
        <v>99</v>
      </c>
    </row>
    <row r="4" spans="1:18" ht="12.75">
      <c r="A4" s="68"/>
      <c r="B4" s="69"/>
      <c r="C4" s="69"/>
      <c r="D4" s="70"/>
      <c r="E4" s="66" t="s">
        <v>54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56"/>
    </row>
    <row r="5" spans="1:18" ht="25.5" customHeight="1">
      <c r="A5" s="58" t="s">
        <v>98</v>
      </c>
      <c r="B5" s="58" t="s">
        <v>0</v>
      </c>
      <c r="C5" s="60" t="s">
        <v>1</v>
      </c>
      <c r="D5" s="60" t="s">
        <v>49</v>
      </c>
      <c r="E5" s="71" t="s">
        <v>89</v>
      </c>
      <c r="F5" s="60" t="s">
        <v>90</v>
      </c>
      <c r="G5" s="60" t="s">
        <v>53</v>
      </c>
      <c r="H5" s="60" t="s">
        <v>55</v>
      </c>
      <c r="I5" s="60" t="s">
        <v>56</v>
      </c>
      <c r="J5" s="60" t="s">
        <v>47</v>
      </c>
      <c r="K5" s="62" t="s">
        <v>91</v>
      </c>
      <c r="L5" s="63"/>
      <c r="M5" s="60" t="s">
        <v>97</v>
      </c>
      <c r="N5" s="20"/>
      <c r="O5" s="64" t="s">
        <v>94</v>
      </c>
      <c r="P5" s="60" t="s">
        <v>95</v>
      </c>
      <c r="Q5" s="73" t="s">
        <v>96</v>
      </c>
      <c r="R5" s="56"/>
    </row>
    <row r="6" spans="1:18" ht="50.25" customHeight="1" thickBot="1">
      <c r="A6" s="59"/>
      <c r="B6" s="59"/>
      <c r="C6" s="61"/>
      <c r="D6" s="61"/>
      <c r="E6" s="72"/>
      <c r="F6" s="61"/>
      <c r="G6" s="61"/>
      <c r="H6" s="61"/>
      <c r="I6" s="61"/>
      <c r="J6" s="61"/>
      <c r="K6" s="13" t="s">
        <v>92</v>
      </c>
      <c r="L6" s="13" t="s">
        <v>93</v>
      </c>
      <c r="M6" s="61"/>
      <c r="N6" s="14" t="s">
        <v>52</v>
      </c>
      <c r="O6" s="65"/>
      <c r="P6" s="61"/>
      <c r="Q6" s="74"/>
      <c r="R6" s="57"/>
    </row>
    <row r="7" spans="1:18" s="1" customFormat="1" ht="10.5" customHeight="1">
      <c r="A7" s="21">
        <v>1</v>
      </c>
      <c r="B7" s="9">
        <v>2</v>
      </c>
      <c r="C7" s="9">
        <v>3</v>
      </c>
      <c r="D7" s="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30">
        <v>17</v>
      </c>
      <c r="R7" s="23">
        <v>18</v>
      </c>
    </row>
    <row r="8" spans="1:18" s="2" customFormat="1" ht="21" customHeight="1">
      <c r="A8" s="31" t="s">
        <v>2</v>
      </c>
      <c r="B8" s="16" t="s">
        <v>3</v>
      </c>
      <c r="C8" s="39">
        <v>1990</v>
      </c>
      <c r="D8" s="41">
        <v>731</v>
      </c>
      <c r="E8" s="41">
        <f>E2/D51*D8</f>
        <v>31418.205625416314</v>
      </c>
      <c r="F8" s="41">
        <f>F2/G2*D8</f>
        <v>22739.100396573325</v>
      </c>
      <c r="G8" s="15"/>
      <c r="H8" s="41">
        <f>H2/D51*D8</f>
        <v>4462.249928098444</v>
      </c>
      <c r="I8" s="47"/>
      <c r="J8" s="49">
        <f>M2/J2*D8</f>
        <v>715.3522384691958</v>
      </c>
      <c r="K8" s="41">
        <f>K2/D51*D8</f>
        <v>26031.0312747719</v>
      </c>
      <c r="L8" s="17">
        <f>K8*54.48%</f>
        <v>14181.705838495729</v>
      </c>
      <c r="M8" s="17">
        <f>J8+H8+G8+F8+E8+K8+I8</f>
        <v>85365.93946332918</v>
      </c>
      <c r="N8" s="17">
        <f>M8-K8</f>
        <v>59334.90818855728</v>
      </c>
      <c r="O8" s="42">
        <v>72522</v>
      </c>
      <c r="P8" s="40">
        <v>64648.17</v>
      </c>
      <c r="Q8" s="32">
        <f>P8-M8</f>
        <v>-20717.769463329183</v>
      </c>
      <c r="R8" s="24" t="s">
        <v>79</v>
      </c>
    </row>
    <row r="9" spans="1:18" s="2" customFormat="1" ht="30.75" customHeight="1">
      <c r="A9" s="31">
        <v>2</v>
      </c>
      <c r="B9" s="16" t="s">
        <v>9</v>
      </c>
      <c r="C9" s="39">
        <v>1978</v>
      </c>
      <c r="D9" s="40">
        <v>868.6</v>
      </c>
      <c r="E9" s="41">
        <f>E2/D51*D9</f>
        <v>37332.22080196527</v>
      </c>
      <c r="F9" s="41">
        <f>F2/G2*D9</f>
        <v>27019.401647693012</v>
      </c>
      <c r="G9" s="15"/>
      <c r="H9" s="41">
        <f>H2/D51*D9+3505.11</f>
        <v>8807.312855740503</v>
      </c>
      <c r="I9" s="47">
        <f>2286.3</f>
        <v>2286.3</v>
      </c>
      <c r="J9" s="49">
        <f>M2/J2*D9</f>
        <v>850.006777475162</v>
      </c>
      <c r="K9" s="41">
        <f>K2/D51*D9</f>
        <v>30930.990102964257</v>
      </c>
      <c r="L9" s="17">
        <f aca="true" t="shared" si="0" ref="L9:L50">K9*54.48%</f>
        <v>16851.203408094927</v>
      </c>
      <c r="M9" s="17">
        <f aca="true" t="shared" si="1" ref="M9:M50">J9+H9+G9+F9+E9+K9+I9</f>
        <v>107226.2321858382</v>
      </c>
      <c r="N9" s="17">
        <f aca="true" t="shared" si="2" ref="N9:N50">M9-K9</f>
        <v>76295.24208287394</v>
      </c>
      <c r="O9" s="40">
        <v>75704.18</v>
      </c>
      <c r="P9" s="40">
        <v>72972.12</v>
      </c>
      <c r="Q9" s="32">
        <f aca="true" t="shared" si="3" ref="Q9:Q50">P9-M9</f>
        <v>-34254.11218583821</v>
      </c>
      <c r="R9" s="25" t="s">
        <v>80</v>
      </c>
    </row>
    <row r="10" spans="1:18" s="2" customFormat="1" ht="48" customHeight="1">
      <c r="A10" s="31">
        <v>3</v>
      </c>
      <c r="B10" s="16" t="s">
        <v>10</v>
      </c>
      <c r="C10" s="39">
        <v>1988</v>
      </c>
      <c r="D10" s="40">
        <v>732.3</v>
      </c>
      <c r="E10" s="41">
        <f>E2/D51*D10</f>
        <v>31474.07931531103</v>
      </c>
      <c r="F10" s="41">
        <f>F2/G2*D10</f>
        <v>22779.53928920745</v>
      </c>
      <c r="G10" s="15"/>
      <c r="H10" s="41">
        <f>H2/D51*D10</f>
        <v>4470.185529885759</v>
      </c>
      <c r="I10" s="47">
        <v>272.84</v>
      </c>
      <c r="J10" s="49">
        <f>M2/J2*D10</f>
        <v>716.6244107127113</v>
      </c>
      <c r="K10" s="41">
        <f>K2/D51*D10</f>
        <v>26077.324490445226</v>
      </c>
      <c r="L10" s="17">
        <f t="shared" si="0"/>
        <v>14206.926382394558</v>
      </c>
      <c r="M10" s="17">
        <f t="shared" si="1"/>
        <v>85790.59303556218</v>
      </c>
      <c r="N10" s="17">
        <f t="shared" si="2"/>
        <v>59713.26854511695</v>
      </c>
      <c r="O10" s="40">
        <v>72663.96</v>
      </c>
      <c r="P10" s="40">
        <v>71079.41</v>
      </c>
      <c r="Q10" s="32">
        <f t="shared" si="3"/>
        <v>-14711.183035562179</v>
      </c>
      <c r="R10" s="52" t="s">
        <v>109</v>
      </c>
    </row>
    <row r="11" spans="1:18" s="2" customFormat="1" ht="17.25" customHeight="1">
      <c r="A11" s="31">
        <v>4</v>
      </c>
      <c r="B11" s="16" t="s">
        <v>4</v>
      </c>
      <c r="C11" s="39">
        <v>1991</v>
      </c>
      <c r="D11" s="40">
        <v>719.2</v>
      </c>
      <c r="E11" s="41">
        <f>E2/D51*D11</f>
        <v>30911.044440218076</v>
      </c>
      <c r="F11" s="41">
        <f>F2/G2*D11</f>
        <v>22372.039678817422</v>
      </c>
      <c r="G11" s="15"/>
      <c r="H11" s="41">
        <f>H2/D51*D11</f>
        <v>4390.219081105884</v>
      </c>
      <c r="I11" s="47">
        <f>399.47+985.43</f>
        <v>1384.9</v>
      </c>
      <c r="J11" s="49">
        <f>M2/J2*D11</f>
        <v>703.8048288742074</v>
      </c>
      <c r="K11" s="41">
        <f>K2/D51*D11</f>
        <v>25610.831317121683</v>
      </c>
      <c r="L11" s="17">
        <f t="shared" si="0"/>
        <v>13952.780901567892</v>
      </c>
      <c r="M11" s="17">
        <f t="shared" si="1"/>
        <v>85372.83934613728</v>
      </c>
      <c r="N11" s="17">
        <f t="shared" si="2"/>
        <v>59762.00802901559</v>
      </c>
      <c r="O11" s="40">
        <v>71601.84</v>
      </c>
      <c r="P11" s="40">
        <v>70457.27</v>
      </c>
      <c r="Q11" s="32">
        <f t="shared" si="3"/>
        <v>-14915.569346137272</v>
      </c>
      <c r="R11" s="27" t="s">
        <v>67</v>
      </c>
    </row>
    <row r="12" spans="1:18" s="2" customFormat="1" ht="17.25" customHeight="1">
      <c r="A12" s="31">
        <v>5</v>
      </c>
      <c r="B12" s="16" t="s">
        <v>29</v>
      </c>
      <c r="C12" s="39">
        <v>1191</v>
      </c>
      <c r="D12" s="40">
        <v>721.4</v>
      </c>
      <c r="E12" s="41">
        <f>E2/D51*D12</f>
        <v>31005.599915424526</v>
      </c>
      <c r="F12" s="41">
        <f>F2/G2*D12</f>
        <v>22440.474727890556</v>
      </c>
      <c r="G12" s="15"/>
      <c r="H12" s="41">
        <f>H2/D51*D12</f>
        <v>4403.648561053648</v>
      </c>
      <c r="I12" s="47">
        <v>447.14</v>
      </c>
      <c r="J12" s="49">
        <f>M2/J2*D12</f>
        <v>705.9577357478493</v>
      </c>
      <c r="K12" s="41">
        <f>K2/D51*D12</f>
        <v>25689.173682107314</v>
      </c>
      <c r="L12" s="17">
        <f t="shared" si="0"/>
        <v>13995.461822012063</v>
      </c>
      <c r="M12" s="17">
        <f t="shared" si="1"/>
        <v>84691.9946222239</v>
      </c>
      <c r="N12" s="17">
        <f t="shared" si="2"/>
        <v>59002.82094011658</v>
      </c>
      <c r="O12" s="40">
        <v>71790.24</v>
      </c>
      <c r="P12" s="40">
        <v>63968.25</v>
      </c>
      <c r="Q12" s="32">
        <f t="shared" si="3"/>
        <v>-20723.744622223894</v>
      </c>
      <c r="R12" s="27" t="s">
        <v>67</v>
      </c>
    </row>
    <row r="13" spans="1:18" s="2" customFormat="1" ht="30.75" customHeight="1">
      <c r="A13" s="31">
        <v>6</v>
      </c>
      <c r="B13" s="16" t="s">
        <v>11</v>
      </c>
      <c r="C13" s="39">
        <v>1989</v>
      </c>
      <c r="D13" s="40">
        <v>4255.9</v>
      </c>
      <c r="E13" s="41">
        <f>E2/D51*D13</f>
        <v>182917.56678688</v>
      </c>
      <c r="F13" s="41">
        <f>F2/G2*D13</f>
        <v>132387.60243197868</v>
      </c>
      <c r="G13" s="15"/>
      <c r="H13" s="41">
        <f>H2/D51*D13</f>
        <v>25979.328958952345</v>
      </c>
      <c r="I13" s="47">
        <f>383.71</f>
        <v>383.71</v>
      </c>
      <c r="J13" s="49">
        <f>M2/J2*D13</f>
        <v>4164.798347060259</v>
      </c>
      <c r="K13" s="41">
        <f>K2/D51*D13</f>
        <v>151553.30506470823</v>
      </c>
      <c r="L13" s="17">
        <f t="shared" si="0"/>
        <v>82566.24059925304</v>
      </c>
      <c r="M13" s="17">
        <f t="shared" si="1"/>
        <v>497386.3115895795</v>
      </c>
      <c r="N13" s="17">
        <f t="shared" si="2"/>
        <v>345833.0065248713</v>
      </c>
      <c r="O13" s="40">
        <v>424145.55</v>
      </c>
      <c r="P13" s="40">
        <v>417723.84</v>
      </c>
      <c r="Q13" s="32">
        <f t="shared" si="3"/>
        <v>-79662.47158957948</v>
      </c>
      <c r="R13" s="25" t="s">
        <v>65</v>
      </c>
    </row>
    <row r="14" spans="1:18" s="2" customFormat="1" ht="36.75" customHeight="1">
      <c r="A14" s="31">
        <v>7</v>
      </c>
      <c r="B14" s="16" t="s">
        <v>12</v>
      </c>
      <c r="C14" s="39">
        <v>1988</v>
      </c>
      <c r="D14" s="40">
        <v>4245.1</v>
      </c>
      <c r="E14" s="41">
        <f>E2/D51*D14</f>
        <v>182453.38536313927</v>
      </c>
      <c r="F14" s="41">
        <f>F2/G2*D14</f>
        <v>132051.64855471058</v>
      </c>
      <c r="G14" s="15"/>
      <c r="H14" s="41">
        <f>H2/D51*D14</f>
        <v>25913.402421026956</v>
      </c>
      <c r="I14" s="47">
        <f>9029+629.2</f>
        <v>9658.2</v>
      </c>
      <c r="J14" s="49">
        <f>M2/J2*D14</f>
        <v>4154.229531498746</v>
      </c>
      <c r="K14" s="41">
        <f>K2/D51*D14</f>
        <v>151168.7152729606</v>
      </c>
      <c r="L14" s="17">
        <f t="shared" si="0"/>
        <v>82356.71608070892</v>
      </c>
      <c r="M14" s="17">
        <f t="shared" si="1"/>
        <v>505399.5811433362</v>
      </c>
      <c r="N14" s="17">
        <f t="shared" si="2"/>
        <v>354230.8658703756</v>
      </c>
      <c r="O14" s="40">
        <v>421417.38</v>
      </c>
      <c r="P14" s="40">
        <v>409010.16</v>
      </c>
      <c r="Q14" s="32">
        <f t="shared" si="3"/>
        <v>-96389.42114333622</v>
      </c>
      <c r="R14" s="25" t="s">
        <v>64</v>
      </c>
    </row>
    <row r="15" spans="1:18" s="2" customFormat="1" ht="40.5" customHeight="1">
      <c r="A15" s="31">
        <v>8</v>
      </c>
      <c r="B15" s="16" t="s">
        <v>5</v>
      </c>
      <c r="C15" s="39">
        <v>1978</v>
      </c>
      <c r="D15" s="40">
        <v>772.1</v>
      </c>
      <c r="E15" s="41">
        <f>E2/D51*D15</f>
        <v>33184.673821318655</v>
      </c>
      <c r="F15" s="41">
        <f>F2/G2*D15</f>
        <v>24017.59154062143</v>
      </c>
      <c r="G15" s="15"/>
      <c r="H15" s="41">
        <f>H2/D51*D15</f>
        <v>4713.137030758972</v>
      </c>
      <c r="I15" s="47">
        <f>4778</f>
        <v>4778</v>
      </c>
      <c r="J15" s="49">
        <f>M2/J2*D15</f>
        <v>755.5724532449603</v>
      </c>
      <c r="K15" s="41">
        <f>K2/D51*D15</f>
        <v>27494.609093367148</v>
      </c>
      <c r="L15" s="17">
        <f t="shared" si="0"/>
        <v>14979.063034066421</v>
      </c>
      <c r="M15" s="17">
        <f t="shared" si="1"/>
        <v>94943.58393931117</v>
      </c>
      <c r="N15" s="17">
        <f t="shared" si="2"/>
        <v>67448.97484594402</v>
      </c>
      <c r="O15" s="40">
        <v>67645.92</v>
      </c>
      <c r="P15" s="40">
        <v>64668.15</v>
      </c>
      <c r="Q15" s="32">
        <f t="shared" si="3"/>
        <v>-30275.433939311166</v>
      </c>
      <c r="R15" s="25" t="s">
        <v>59</v>
      </c>
    </row>
    <row r="16" spans="1:18" s="2" customFormat="1" ht="30.75" customHeight="1">
      <c r="A16" s="31">
        <v>9</v>
      </c>
      <c r="B16" s="16" t="s">
        <v>13</v>
      </c>
      <c r="C16" s="39">
        <v>1979</v>
      </c>
      <c r="D16" s="40">
        <v>779.2</v>
      </c>
      <c r="E16" s="41">
        <f>E2/D51*D16</f>
        <v>33489.83012766675</v>
      </c>
      <c r="F16" s="41">
        <f>F2/G2*D16</f>
        <v>24238.45010808473</v>
      </c>
      <c r="G16" s="15"/>
      <c r="H16" s="41">
        <f>H2/D51*D16</f>
        <v>4756.477625135852</v>
      </c>
      <c r="I16" s="47"/>
      <c r="J16" s="49">
        <f>M2/J2*D16</f>
        <v>762.5204708826229</v>
      </c>
      <c r="K16" s="41">
        <f>K2/D51*D16</f>
        <v>27747.44127127533</v>
      </c>
      <c r="L16" s="17">
        <f t="shared" si="0"/>
        <v>15116.806004590799</v>
      </c>
      <c r="M16" s="17">
        <f t="shared" si="1"/>
        <v>90994.71960304528</v>
      </c>
      <c r="N16" s="17">
        <f t="shared" si="2"/>
        <v>63247.27833176995</v>
      </c>
      <c r="O16" s="40">
        <v>67960.2</v>
      </c>
      <c r="P16" s="41">
        <v>64062</v>
      </c>
      <c r="Q16" s="32">
        <f t="shared" si="3"/>
        <v>-26932.719603045276</v>
      </c>
      <c r="R16" s="26" t="s">
        <v>60</v>
      </c>
    </row>
    <row r="17" spans="1:18" s="2" customFormat="1" ht="26.25" customHeight="1">
      <c r="A17" s="31">
        <v>10</v>
      </c>
      <c r="B17" s="16" t="s">
        <v>6</v>
      </c>
      <c r="C17" s="39">
        <v>1991</v>
      </c>
      <c r="D17" s="40">
        <v>5272.8</v>
      </c>
      <c r="E17" s="41">
        <f>E2/D51*D17</f>
        <v>226623.68621298924</v>
      </c>
      <c r="F17" s="41">
        <f>F2/G2*D17</f>
        <v>164020.14852401073</v>
      </c>
      <c r="G17" s="15"/>
      <c r="H17" s="41">
        <f>H2/D51*D17</f>
        <v>32186.800849353593</v>
      </c>
      <c r="I17" s="40">
        <f>31029.11+28917.73+29073.11+29637.81+32835.65</f>
        <v>151493.41</v>
      </c>
      <c r="J17" s="49">
        <f>M2/J2*D17</f>
        <v>5159.930619699556</v>
      </c>
      <c r="K17" s="41">
        <f>K2/D51*D17</f>
        <v>187765.28277102226</v>
      </c>
      <c r="L17" s="17">
        <f t="shared" si="0"/>
        <v>102294.52605365292</v>
      </c>
      <c r="M17" s="17">
        <f t="shared" si="1"/>
        <v>767249.2589770755</v>
      </c>
      <c r="N17" s="17">
        <f t="shared" si="2"/>
        <v>579483.9762060532</v>
      </c>
      <c r="O17" s="40">
        <v>524910.6</v>
      </c>
      <c r="P17" s="40">
        <v>521096.83</v>
      </c>
      <c r="Q17" s="32">
        <f t="shared" si="3"/>
        <v>-246152.42897707544</v>
      </c>
      <c r="R17" s="26" t="s">
        <v>85</v>
      </c>
    </row>
    <row r="18" spans="1:18" s="2" customFormat="1" ht="21.75" customHeight="1">
      <c r="A18" s="31">
        <v>11</v>
      </c>
      <c r="B18" s="16" t="s">
        <v>44</v>
      </c>
      <c r="C18" s="39">
        <v>1984</v>
      </c>
      <c r="D18" s="40">
        <v>3638.14</v>
      </c>
      <c r="E18" s="41">
        <f>E2/D51*D18</f>
        <v>156366.38934890847</v>
      </c>
      <c r="F18" s="41">
        <f>F2/G2*D18</f>
        <v>113171.04065224252</v>
      </c>
      <c r="G18" s="15">
        <v>505155.53</v>
      </c>
      <c r="H18" s="41">
        <f>(H2/D51*D18)+3643.16</f>
        <v>25851.490989619797</v>
      </c>
      <c r="I18" s="40">
        <f>767.23+506</f>
        <v>1273.23</v>
      </c>
      <c r="J18" s="50"/>
      <c r="K18" s="41">
        <f>K2/D51*D18</f>
        <v>129554.76897674231</v>
      </c>
      <c r="L18" s="17">
        <f t="shared" si="0"/>
        <v>70581.4381385292</v>
      </c>
      <c r="M18" s="17">
        <f>J18+H18+G18+F18+E18+K18+I18</f>
        <v>931372.449967513</v>
      </c>
      <c r="N18" s="17">
        <f t="shared" si="2"/>
        <v>801817.6809907707</v>
      </c>
      <c r="O18" s="40">
        <v>748745.21</v>
      </c>
      <c r="P18" s="42">
        <v>703700.72</v>
      </c>
      <c r="Q18" s="32">
        <f t="shared" si="3"/>
        <v>-227671.729967513</v>
      </c>
      <c r="R18" s="26" t="s">
        <v>57</v>
      </c>
    </row>
    <row r="19" spans="1:18" s="2" customFormat="1" ht="18" customHeight="1">
      <c r="A19" s="31">
        <v>12</v>
      </c>
      <c r="B19" s="16" t="s">
        <v>41</v>
      </c>
      <c r="C19" s="39">
        <v>1978</v>
      </c>
      <c r="D19" s="40">
        <v>271.7</v>
      </c>
      <c r="E19" s="41">
        <f>E2/D51*D19</f>
        <v>11677.601187996734</v>
      </c>
      <c r="F19" s="41">
        <f>F2/G2*D19</f>
        <v>8451.72856053211</v>
      </c>
      <c r="G19" s="15"/>
      <c r="H19" s="41">
        <f>H2/D51*D19</f>
        <v>1658.5407735490385</v>
      </c>
      <c r="I19" s="47">
        <f>5123.87</f>
        <v>5123.87</v>
      </c>
      <c r="J19" s="49">
        <f>M2/J2*D19</f>
        <v>265.88399889477495</v>
      </c>
      <c r="K19" s="41">
        <f>K2/D51*D19</f>
        <v>9675.282075725752</v>
      </c>
      <c r="L19" s="17">
        <f t="shared" si="0"/>
        <v>5271.0936748553895</v>
      </c>
      <c r="M19" s="17">
        <f t="shared" si="1"/>
        <v>36852.90659669841</v>
      </c>
      <c r="N19" s="17">
        <f t="shared" si="2"/>
        <v>27177.624520972662</v>
      </c>
      <c r="O19" s="40">
        <v>26963.64</v>
      </c>
      <c r="P19" s="40">
        <v>24889.51</v>
      </c>
      <c r="Q19" s="32">
        <f t="shared" si="3"/>
        <v>-11963.396596698414</v>
      </c>
      <c r="R19" s="26" t="s">
        <v>68</v>
      </c>
    </row>
    <row r="20" spans="1:18" s="2" customFormat="1" ht="18.75" customHeight="1">
      <c r="A20" s="31">
        <v>13</v>
      </c>
      <c r="B20" s="16" t="s">
        <v>7</v>
      </c>
      <c r="C20" s="39">
        <v>1977</v>
      </c>
      <c r="D20" s="41">
        <v>271</v>
      </c>
      <c r="E20" s="41">
        <f>E2/D51*D20</f>
        <v>11647.515354976498</v>
      </c>
      <c r="F20" s="41">
        <f>F2/G2*D20</f>
        <v>8429.953772190658</v>
      </c>
      <c r="G20" s="15"/>
      <c r="H20" s="41">
        <f>H2/D51*D20</f>
        <v>1654.2677572020223</v>
      </c>
      <c r="I20" s="47"/>
      <c r="J20" s="49">
        <f>M2/J2*D20</f>
        <v>265.19898307134343</v>
      </c>
      <c r="K20" s="41">
        <f>K2/D51*D20</f>
        <v>9650.35495959396</v>
      </c>
      <c r="L20" s="17">
        <f t="shared" si="0"/>
        <v>5257.513381986789</v>
      </c>
      <c r="M20" s="17">
        <f t="shared" si="1"/>
        <v>31647.290827034485</v>
      </c>
      <c r="N20" s="17">
        <f t="shared" si="2"/>
        <v>21996.935867440523</v>
      </c>
      <c r="O20" s="40">
        <v>26887.4</v>
      </c>
      <c r="P20" s="40">
        <v>29369.84</v>
      </c>
      <c r="Q20" s="32">
        <f t="shared" si="3"/>
        <v>-2277.450827034485</v>
      </c>
      <c r="R20" s="26"/>
    </row>
    <row r="21" spans="1:18" s="2" customFormat="1" ht="27.75" customHeight="1">
      <c r="A21" s="31">
        <v>14</v>
      </c>
      <c r="B21" s="18" t="s">
        <v>42</v>
      </c>
      <c r="C21" s="39">
        <v>1986</v>
      </c>
      <c r="D21" s="40">
        <v>3215.3</v>
      </c>
      <c r="E21" s="41">
        <f>E2/D51*D21</f>
        <v>138192.82701422856</v>
      </c>
      <c r="F21" s="41">
        <f>F2/G2*D21</f>
        <v>100017.82422038607</v>
      </c>
      <c r="G21" s="15"/>
      <c r="H21" s="41">
        <f>H2/D51*D21</f>
        <v>19627.18494365927</v>
      </c>
      <c r="I21" s="47"/>
      <c r="J21" s="49">
        <f>M2/J2*D21</f>
        <v>3146.4733958276406</v>
      </c>
      <c r="K21" s="41">
        <f>K2/D51*D21</f>
        <v>114497.36642650355</v>
      </c>
      <c r="L21" s="17">
        <f t="shared" si="0"/>
        <v>62378.16522915912</v>
      </c>
      <c r="M21" s="17">
        <f t="shared" si="1"/>
        <v>375481.6760006051</v>
      </c>
      <c r="N21" s="17">
        <f t="shared" si="2"/>
        <v>260984.30957410156</v>
      </c>
      <c r="O21" s="40">
        <v>319264.92</v>
      </c>
      <c r="P21" s="40">
        <v>317915.23</v>
      </c>
      <c r="Q21" s="32">
        <f t="shared" si="3"/>
        <v>-57566.44600060512</v>
      </c>
      <c r="R21" s="26" t="s">
        <v>62</v>
      </c>
    </row>
    <row r="22" spans="1:18" s="2" customFormat="1" ht="30" customHeight="1">
      <c r="A22" s="31">
        <v>15</v>
      </c>
      <c r="B22" s="16" t="s">
        <v>8</v>
      </c>
      <c r="C22" s="39">
        <v>1981</v>
      </c>
      <c r="D22" s="40">
        <v>841.9</v>
      </c>
      <c r="E22" s="41">
        <f>E2/D51*D22</f>
        <v>36184.661171050604</v>
      </c>
      <c r="F22" s="41">
        <f>F2/G2*D22</f>
        <v>26188.849006669057</v>
      </c>
      <c r="G22" s="15"/>
      <c r="H22" s="41">
        <f>H2/D51*D22</f>
        <v>5139.217803647168</v>
      </c>
      <c r="I22" s="40">
        <f>1146+3822.8+2446.47</f>
        <v>7415.27</v>
      </c>
      <c r="J22" s="49">
        <f>M2/J2*D22</f>
        <v>823.8783167814171</v>
      </c>
      <c r="K22" s="41">
        <f>K2/D51*D22</f>
        <v>29980.198673365885</v>
      </c>
      <c r="L22" s="17">
        <f t="shared" si="0"/>
        <v>16333.212237249732</v>
      </c>
      <c r="M22" s="17">
        <f t="shared" si="1"/>
        <v>105732.07497151414</v>
      </c>
      <c r="N22" s="17">
        <f t="shared" si="2"/>
        <v>75751.87629814826</v>
      </c>
      <c r="O22" s="40">
        <v>83871.28</v>
      </c>
      <c r="P22" s="40">
        <v>83871.28</v>
      </c>
      <c r="Q22" s="32">
        <f t="shared" si="3"/>
        <v>-21860.794971514144</v>
      </c>
      <c r="R22" s="26" t="s">
        <v>66</v>
      </c>
    </row>
    <row r="23" spans="1:18" s="2" customFormat="1" ht="16.5" customHeight="1">
      <c r="A23" s="31">
        <v>16</v>
      </c>
      <c r="B23" s="16" t="s">
        <v>43</v>
      </c>
      <c r="C23" s="39">
        <v>1981</v>
      </c>
      <c r="D23" s="40">
        <v>180.9</v>
      </c>
      <c r="E23" s="41">
        <f>E2/D51*D23</f>
        <v>7775.038847657745</v>
      </c>
      <c r="F23" s="41">
        <v>0</v>
      </c>
      <c r="G23" s="15"/>
      <c r="H23" s="41">
        <f>H2/D51*D23</f>
        <v>1104.2695102503537</v>
      </c>
      <c r="I23" s="47"/>
      <c r="J23" s="49">
        <f>M2/J2*D23</f>
        <v>177.02766065537278</v>
      </c>
      <c r="K23" s="41">
        <f>K2/D51*D23</f>
        <v>6441.879011773238</v>
      </c>
      <c r="L23" s="17">
        <f t="shared" si="0"/>
        <v>3509.5356856140597</v>
      </c>
      <c r="M23" s="17">
        <f t="shared" si="1"/>
        <v>15498.215030336709</v>
      </c>
      <c r="N23" s="17">
        <f t="shared" si="2"/>
        <v>9056.33601856347</v>
      </c>
      <c r="O23" s="40">
        <v>15871.8</v>
      </c>
      <c r="P23" s="40">
        <v>16106.77</v>
      </c>
      <c r="Q23" s="32">
        <f t="shared" si="3"/>
        <v>608.5549696632916</v>
      </c>
      <c r="R23" s="26" t="s">
        <v>61</v>
      </c>
    </row>
    <row r="24" spans="1:18" s="2" customFormat="1" ht="31.5" customHeight="1">
      <c r="A24" s="31">
        <v>17</v>
      </c>
      <c r="B24" s="16" t="s">
        <v>14</v>
      </c>
      <c r="C24" s="39">
        <v>1974</v>
      </c>
      <c r="D24" s="40">
        <v>715.6</v>
      </c>
      <c r="E24" s="41">
        <f>E2/D51*D24</f>
        <v>30756.317298971157</v>
      </c>
      <c r="F24" s="41">
        <f>F2/G2*D24</f>
        <v>22260.055053061384</v>
      </c>
      <c r="G24" s="15"/>
      <c r="H24" s="41">
        <f>H2/D51*D24+3505.11</f>
        <v>7873.353568464085</v>
      </c>
      <c r="I24" s="40">
        <f>3550.7+7338.43</f>
        <v>10889.130000000001</v>
      </c>
      <c r="J24" s="49">
        <f>M2/J2*D24</f>
        <v>700.2818903537025</v>
      </c>
      <c r="K24" s="41">
        <f>K2/D51*D24</f>
        <v>25482.634719872465</v>
      </c>
      <c r="L24" s="17">
        <f t="shared" si="0"/>
        <v>13882.939395386518</v>
      </c>
      <c r="M24" s="17">
        <f t="shared" si="1"/>
        <v>97961.7725307228</v>
      </c>
      <c r="N24" s="17">
        <f t="shared" si="2"/>
        <v>72479.13781085033</v>
      </c>
      <c r="O24" s="40">
        <v>62700.99</v>
      </c>
      <c r="P24" s="40">
        <v>58860.24</v>
      </c>
      <c r="Q24" s="32">
        <f t="shared" si="3"/>
        <v>-39101.5325307228</v>
      </c>
      <c r="R24" s="26" t="s">
        <v>77</v>
      </c>
    </row>
    <row r="25" spans="1:18" s="2" customFormat="1" ht="30" customHeight="1">
      <c r="A25" s="31">
        <v>18</v>
      </c>
      <c r="B25" s="16" t="s">
        <v>15</v>
      </c>
      <c r="C25" s="39">
        <v>1972</v>
      </c>
      <c r="D25" s="40">
        <v>714.9</v>
      </c>
      <c r="E25" s="41">
        <f>E2/D51*D25</f>
        <v>30726.231465950917</v>
      </c>
      <c r="F25" s="41">
        <f>F2/G2*D25</f>
        <v>22238.28026471993</v>
      </c>
      <c r="G25" s="15"/>
      <c r="H25" s="41">
        <f>H2/D51*D25+3505.11</f>
        <v>7869.08055211707</v>
      </c>
      <c r="I25" s="40">
        <f>3919.4</f>
        <v>3919.4</v>
      </c>
      <c r="J25" s="49">
        <f>M2/J2*D25</f>
        <v>699.5968745302708</v>
      </c>
      <c r="K25" s="41">
        <f>K2/D51*D25</f>
        <v>25457.70760374067</v>
      </c>
      <c r="L25" s="17">
        <f t="shared" si="0"/>
        <v>13869.359102517916</v>
      </c>
      <c r="M25" s="17">
        <f t="shared" si="1"/>
        <v>90910.29676105885</v>
      </c>
      <c r="N25" s="17">
        <f t="shared" si="2"/>
        <v>65452.58915731819</v>
      </c>
      <c r="O25" s="40">
        <v>62542.44</v>
      </c>
      <c r="P25" s="40">
        <v>61678.05</v>
      </c>
      <c r="Q25" s="32">
        <f t="shared" si="3"/>
        <v>-29232.24676105885</v>
      </c>
      <c r="R25" s="26" t="s">
        <v>75</v>
      </c>
    </row>
    <row r="26" spans="1:18" s="2" customFormat="1" ht="16.5" customHeight="1">
      <c r="A26" s="31">
        <v>19</v>
      </c>
      <c r="B26" s="16" t="s">
        <v>16</v>
      </c>
      <c r="C26" s="39">
        <v>1971</v>
      </c>
      <c r="D26" s="40">
        <v>715.2</v>
      </c>
      <c r="E26" s="41">
        <f>E2/D51*D26</f>
        <v>30739.125394388164</v>
      </c>
      <c r="F26" s="41">
        <f>F2/G2*D26</f>
        <v>22247.61231686627</v>
      </c>
      <c r="G26" s="15"/>
      <c r="H26" s="41">
        <f>H2/D51*D26+3505.11</f>
        <v>7870.911844837219</v>
      </c>
      <c r="I26" s="40">
        <f>2830.1</f>
        <v>2830.1</v>
      </c>
      <c r="J26" s="49">
        <f>M2/J2*D26</f>
        <v>699.890452740313</v>
      </c>
      <c r="K26" s="41">
        <f>K2/D51*D26</f>
        <v>25468.39065351144</v>
      </c>
      <c r="L26" s="17">
        <f t="shared" si="0"/>
        <v>13875.179228033032</v>
      </c>
      <c r="M26" s="17">
        <f t="shared" si="1"/>
        <v>89856.03066234342</v>
      </c>
      <c r="N26" s="17">
        <f t="shared" si="2"/>
        <v>64387.64000883198</v>
      </c>
      <c r="O26" s="40">
        <v>62498.88</v>
      </c>
      <c r="P26" s="40">
        <v>61697.36</v>
      </c>
      <c r="Q26" s="51">
        <f t="shared" si="3"/>
        <v>-28158.670662343415</v>
      </c>
      <c r="R26" s="26" t="s">
        <v>76</v>
      </c>
    </row>
    <row r="27" spans="1:18" s="2" customFormat="1" ht="25.5" customHeight="1">
      <c r="A27" s="31">
        <v>20</v>
      </c>
      <c r="B27" s="16" t="s">
        <v>17</v>
      </c>
      <c r="C27" s="39">
        <v>1981</v>
      </c>
      <c r="D27" s="40">
        <v>875.2</v>
      </c>
      <c r="E27" s="41">
        <f>E2/D51*D27</f>
        <v>37615.88722758462</v>
      </c>
      <c r="F27" s="41">
        <f>F2/G2*D27</f>
        <v>27224.706794912414</v>
      </c>
      <c r="G27" s="15"/>
      <c r="H27" s="41">
        <f>H2/D51*D27</f>
        <v>5342.491295583801</v>
      </c>
      <c r="I27" s="40"/>
      <c r="J27" s="49">
        <f>M2/J2*D27</f>
        <v>856.4654980960877</v>
      </c>
      <c r="K27" s="41">
        <f>K2/D51*D27</f>
        <v>31166.01719792116</v>
      </c>
      <c r="L27" s="17">
        <f t="shared" si="0"/>
        <v>16979.246169427446</v>
      </c>
      <c r="M27" s="17">
        <f t="shared" si="1"/>
        <v>102205.56801409808</v>
      </c>
      <c r="N27" s="17">
        <f t="shared" si="2"/>
        <v>71039.55081617692</v>
      </c>
      <c r="O27" s="40">
        <v>86507.4</v>
      </c>
      <c r="P27" s="40">
        <v>86099.56</v>
      </c>
      <c r="Q27" s="32">
        <f t="shared" si="3"/>
        <v>-16106.008014098086</v>
      </c>
      <c r="R27" s="26" t="s">
        <v>71</v>
      </c>
    </row>
    <row r="28" spans="1:18" s="2" customFormat="1" ht="31.5" customHeight="1">
      <c r="A28" s="31">
        <v>21</v>
      </c>
      <c r="B28" s="16" t="s">
        <v>18</v>
      </c>
      <c r="C28" s="39">
        <v>1981</v>
      </c>
      <c r="D28" s="40">
        <v>875.4</v>
      </c>
      <c r="E28" s="41">
        <f>E2/D51*D28</f>
        <v>37624.483179876115</v>
      </c>
      <c r="F28" s="41">
        <f>F2/G2*D28</f>
        <v>27230.928163009972</v>
      </c>
      <c r="G28" s="15"/>
      <c r="H28" s="41">
        <f>H2/D51*D28</f>
        <v>5343.712157397234</v>
      </c>
      <c r="I28" s="40"/>
      <c r="J28" s="49">
        <f>M2/J2*D28</f>
        <v>856.6612169027824</v>
      </c>
      <c r="K28" s="41">
        <f>K2/D51*D28</f>
        <v>31173.139231101668</v>
      </c>
      <c r="L28" s="17">
        <f t="shared" si="0"/>
        <v>16983.126253104187</v>
      </c>
      <c r="M28" s="17">
        <f t="shared" si="1"/>
        <v>102228.92394828777</v>
      </c>
      <c r="N28" s="17">
        <f t="shared" si="2"/>
        <v>71055.7847171861</v>
      </c>
      <c r="O28" s="40">
        <v>86846.74</v>
      </c>
      <c r="P28" s="40">
        <v>86977.67</v>
      </c>
      <c r="Q28" s="32">
        <f t="shared" si="3"/>
        <v>-15251.253948287776</v>
      </c>
      <c r="R28" s="26" t="s">
        <v>73</v>
      </c>
    </row>
    <row r="29" spans="1:18" s="2" customFormat="1" ht="36" customHeight="1">
      <c r="A29" s="31">
        <v>22</v>
      </c>
      <c r="B29" s="16" t="s">
        <v>19</v>
      </c>
      <c r="C29" s="39">
        <v>1986</v>
      </c>
      <c r="D29" s="40">
        <v>3099.3</v>
      </c>
      <c r="E29" s="41">
        <f>E2/D51*D29</f>
        <v>133207.17468516112</v>
      </c>
      <c r="F29" s="41">
        <f>F2/G2*D29</f>
        <v>96409.43072380261</v>
      </c>
      <c r="G29" s="15"/>
      <c r="H29" s="41">
        <f>H2/D51*D29</f>
        <v>18919.085091868</v>
      </c>
      <c r="I29" s="47"/>
      <c r="J29" s="49">
        <f>M2/J2*D29</f>
        <v>3032.956487944704</v>
      </c>
      <c r="K29" s="41">
        <f>K2/D51*D29</f>
        <v>110366.5871818065</v>
      </c>
      <c r="L29" s="17">
        <f t="shared" si="0"/>
        <v>60127.71669664818</v>
      </c>
      <c r="M29" s="17">
        <f t="shared" si="1"/>
        <v>361935.23417058296</v>
      </c>
      <c r="N29" s="17">
        <f t="shared" si="2"/>
        <v>251568.64698877645</v>
      </c>
      <c r="O29" s="40">
        <v>308738.62</v>
      </c>
      <c r="P29" s="40">
        <v>309349.48</v>
      </c>
      <c r="Q29" s="32">
        <f t="shared" si="3"/>
        <v>-52585.75417058298</v>
      </c>
      <c r="R29" s="52" t="s">
        <v>106</v>
      </c>
    </row>
    <row r="30" spans="1:18" s="3" customFormat="1" ht="31.5" customHeight="1">
      <c r="A30" s="31">
        <v>23</v>
      </c>
      <c r="B30" s="16" t="s">
        <v>20</v>
      </c>
      <c r="C30" s="39">
        <v>1981</v>
      </c>
      <c r="D30" s="40">
        <v>880.3</v>
      </c>
      <c r="E30" s="41">
        <f>E2/D51*D30</f>
        <v>37835.08401101775</v>
      </c>
      <c r="F30" s="41">
        <f>F2/G2*D30</f>
        <v>27383.351681400134</v>
      </c>
      <c r="G30" s="15"/>
      <c r="H30" s="41">
        <f>H2/D51*D30</f>
        <v>5373.623271826347</v>
      </c>
      <c r="I30" s="40">
        <f>1150.93</f>
        <v>1150.93</v>
      </c>
      <c r="J30" s="49">
        <f>M2/J2*D30</f>
        <v>861.456327666803</v>
      </c>
      <c r="K30" s="41">
        <f>K2/D51*D30</f>
        <v>31347.629044024216</v>
      </c>
      <c r="L30" s="17">
        <f t="shared" si="0"/>
        <v>17078.18830318439</v>
      </c>
      <c r="M30" s="17">
        <f t="shared" si="1"/>
        <v>103952.07433593525</v>
      </c>
      <c r="N30" s="17">
        <f t="shared" si="2"/>
        <v>72604.44529191103</v>
      </c>
      <c r="O30" s="40">
        <v>87404.52</v>
      </c>
      <c r="P30" s="40">
        <v>87127.96</v>
      </c>
      <c r="Q30" s="32">
        <f t="shared" si="3"/>
        <v>-16824.114335935243</v>
      </c>
      <c r="R30" s="26" t="s">
        <v>70</v>
      </c>
    </row>
    <row r="31" spans="1:18" s="3" customFormat="1" ht="21" customHeight="1">
      <c r="A31" s="31">
        <v>24</v>
      </c>
      <c r="B31" s="16" t="s">
        <v>24</v>
      </c>
      <c r="C31" s="39">
        <v>1981</v>
      </c>
      <c r="D31" s="40">
        <v>858.9</v>
      </c>
      <c r="E31" s="41">
        <f>E2/D51*D31</f>
        <v>36915.31711582773</v>
      </c>
      <c r="F31" s="41">
        <f>F2/G2*D31</f>
        <v>26717.66529496146</v>
      </c>
      <c r="G31" s="15"/>
      <c r="H31" s="41">
        <f>H2/D51*D31</f>
        <v>5242.991057788992</v>
      </c>
      <c r="I31" s="40">
        <f>926.67</f>
        <v>926.67</v>
      </c>
      <c r="J31" s="49">
        <f>M2/J2*D31</f>
        <v>840.5144153504681</v>
      </c>
      <c r="K31" s="41">
        <f>K2/D51*D31</f>
        <v>30585.571493709416</v>
      </c>
      <c r="L31" s="17">
        <f t="shared" si="0"/>
        <v>16663.019349772887</v>
      </c>
      <c r="M31" s="17">
        <f t="shared" si="1"/>
        <v>101228.72937763807</v>
      </c>
      <c r="N31" s="17">
        <f t="shared" si="2"/>
        <v>70643.15788392865</v>
      </c>
      <c r="O31" s="40">
        <v>85098.6</v>
      </c>
      <c r="P31" s="40">
        <v>79904.16</v>
      </c>
      <c r="Q31" s="32">
        <f t="shared" si="3"/>
        <v>-21324.569377638065</v>
      </c>
      <c r="R31" s="26" t="s">
        <v>69</v>
      </c>
    </row>
    <row r="32" spans="1:18" s="2" customFormat="1" ht="33" customHeight="1">
      <c r="A32" s="31">
        <v>25</v>
      </c>
      <c r="B32" s="16" t="s">
        <v>21</v>
      </c>
      <c r="C32" s="39">
        <v>1983</v>
      </c>
      <c r="D32" s="40">
        <v>3016.4</v>
      </c>
      <c r="E32" s="41">
        <f>E2/D51*D32</f>
        <v>129644.1524603362</v>
      </c>
      <c r="F32" s="41">
        <f>F2/G2*D32</f>
        <v>93830.67364736495</v>
      </c>
      <c r="G32" s="15"/>
      <c r="H32" s="41">
        <f>H2/D51*D32</f>
        <v>18413.037870199925</v>
      </c>
      <c r="I32" s="47">
        <f>768.69</f>
        <v>768.69</v>
      </c>
      <c r="J32" s="49">
        <f>M2/J2*D32</f>
        <v>2951.8310425697427</v>
      </c>
      <c r="K32" s="41">
        <f>K2/D51*D32</f>
        <v>107414.50442848422</v>
      </c>
      <c r="L32" s="17">
        <f t="shared" si="0"/>
        <v>58519.4220126382</v>
      </c>
      <c r="M32" s="17">
        <f t="shared" si="1"/>
        <v>353022.889448955</v>
      </c>
      <c r="N32" s="17">
        <f t="shared" si="2"/>
        <v>245608.3850204708</v>
      </c>
      <c r="O32" s="40">
        <v>299668.38</v>
      </c>
      <c r="P32" s="40">
        <v>297557.55</v>
      </c>
      <c r="Q32" s="32">
        <f t="shared" si="3"/>
        <v>-55465.33944895503</v>
      </c>
      <c r="R32" s="52" t="s">
        <v>107</v>
      </c>
    </row>
    <row r="33" spans="1:18" s="2" customFormat="1" ht="18.75" customHeight="1">
      <c r="A33" s="31">
        <v>26</v>
      </c>
      <c r="B33" s="16" t="s">
        <v>22</v>
      </c>
      <c r="C33" s="39">
        <v>1982</v>
      </c>
      <c r="D33" s="40">
        <v>878.3</v>
      </c>
      <c r="E33" s="41">
        <f>E2/D51*D33</f>
        <v>37749.124488102796</v>
      </c>
      <c r="F33" s="41">
        <f>F2/G2*D33</f>
        <v>27321.138000424555</v>
      </c>
      <c r="G33" s="15"/>
      <c r="H33" s="41">
        <f>H2/D51*D33+48384.21</f>
        <v>53745.624653692015</v>
      </c>
      <c r="I33" s="40"/>
      <c r="J33" s="49">
        <f>M2/J2*D33</f>
        <v>859.4991395998558</v>
      </c>
      <c r="K33" s="41">
        <f>K2/D51*D33</f>
        <v>31276.408712219094</v>
      </c>
      <c r="L33" s="17">
        <f t="shared" si="0"/>
        <v>17039.38746641696</v>
      </c>
      <c r="M33" s="17">
        <f t="shared" si="1"/>
        <v>150951.79499403833</v>
      </c>
      <c r="N33" s="17">
        <f t="shared" si="2"/>
        <v>119675.38628181923</v>
      </c>
      <c r="O33" s="40">
        <v>87047.83</v>
      </c>
      <c r="P33" s="40">
        <v>75625.25</v>
      </c>
      <c r="Q33" s="32">
        <f t="shared" si="3"/>
        <v>-75326.54499403833</v>
      </c>
      <c r="R33" s="26" t="s">
        <v>58</v>
      </c>
    </row>
    <row r="34" spans="1:18" s="2" customFormat="1" ht="25.5" customHeight="1">
      <c r="A34" s="31">
        <v>27</v>
      </c>
      <c r="B34" s="16" t="s">
        <v>23</v>
      </c>
      <c r="C34" s="39">
        <v>1992</v>
      </c>
      <c r="D34" s="40">
        <v>2553.3</v>
      </c>
      <c r="E34" s="41">
        <f>E2/D51*D34</f>
        <v>109740.22492937822</v>
      </c>
      <c r="F34" s="41">
        <f>F2/G2*D34</f>
        <v>79425.09581747015</v>
      </c>
      <c r="G34" s="15"/>
      <c r="H34" s="41">
        <f>H2/D51*D34</f>
        <v>15586.13234119529</v>
      </c>
      <c r="I34" s="40"/>
      <c r="J34" s="49">
        <f>M2/J2*D34</f>
        <v>2498.6441456681227</v>
      </c>
      <c r="K34" s="41">
        <f>K2/D51*D34</f>
        <v>90923.43659900833</v>
      </c>
      <c r="L34" s="17">
        <f t="shared" si="0"/>
        <v>49535.08825913973</v>
      </c>
      <c r="M34" s="17">
        <f t="shared" si="1"/>
        <v>298173.53383272013</v>
      </c>
      <c r="N34" s="17">
        <f t="shared" si="2"/>
        <v>207250.0972337118</v>
      </c>
      <c r="O34" s="40">
        <v>254478.96</v>
      </c>
      <c r="P34" s="40">
        <v>246592.23</v>
      </c>
      <c r="Q34" s="32">
        <f t="shared" si="3"/>
        <v>-51581.30383272012</v>
      </c>
      <c r="R34" s="26" t="s">
        <v>81</v>
      </c>
    </row>
    <row r="35" spans="1:18" s="2" customFormat="1" ht="43.5" customHeight="1">
      <c r="A35" s="31">
        <v>28</v>
      </c>
      <c r="B35" s="16" t="s">
        <v>25</v>
      </c>
      <c r="C35" s="39">
        <v>1987</v>
      </c>
      <c r="D35" s="40">
        <v>849.5</v>
      </c>
      <c r="E35" s="41">
        <f>E2/D51*D35</f>
        <v>36511.30735812744</v>
      </c>
      <c r="F35" s="41">
        <f>F2/G2*D35</f>
        <v>26425.26099437625</v>
      </c>
      <c r="G35" s="15"/>
      <c r="H35" s="41">
        <f>H2/D51*D35</f>
        <v>5185.61055255763</v>
      </c>
      <c r="I35" s="40">
        <f>3409.12</f>
        <v>3409.12</v>
      </c>
      <c r="J35" s="49">
        <f>M2/J2*D35</f>
        <v>831.3156314358164</v>
      </c>
      <c r="K35" s="41">
        <f>K2/D51*D35</f>
        <v>30250.835934225346</v>
      </c>
      <c r="L35" s="17">
        <f t="shared" si="0"/>
        <v>16480.65541696597</v>
      </c>
      <c r="M35" s="17">
        <f t="shared" si="1"/>
        <v>102613.45047072248</v>
      </c>
      <c r="N35" s="17">
        <f t="shared" si="2"/>
        <v>72362.61453649713</v>
      </c>
      <c r="O35" s="40">
        <v>83819.89</v>
      </c>
      <c r="P35" s="40">
        <v>77592.57</v>
      </c>
      <c r="Q35" s="32">
        <f t="shared" si="3"/>
        <v>-25020.880470722477</v>
      </c>
      <c r="R35" s="52" t="s">
        <v>110</v>
      </c>
    </row>
    <row r="36" spans="1:18" s="2" customFormat="1" ht="21" customHeight="1">
      <c r="A36" s="31">
        <v>29</v>
      </c>
      <c r="B36" s="16" t="s">
        <v>26</v>
      </c>
      <c r="C36" s="39">
        <v>1983</v>
      </c>
      <c r="D36" s="40">
        <v>856.7</v>
      </c>
      <c r="E36" s="41">
        <f>E2/D51*D36</f>
        <v>36820.761640621284</v>
      </c>
      <c r="F36" s="41">
        <f>F2/G2*D36</f>
        <v>26649.23024588833</v>
      </c>
      <c r="G36" s="15"/>
      <c r="H36" s="41">
        <f>H2/D51*D36</f>
        <v>5229.561577841227</v>
      </c>
      <c r="I36" s="41">
        <v>684.55</v>
      </c>
      <c r="J36" s="49">
        <f>M2/J2*D36</f>
        <v>838.3615084768263</v>
      </c>
      <c r="K36" s="41">
        <f>K2/D51*D36</f>
        <v>30507.229128723786</v>
      </c>
      <c r="L36" s="17">
        <f t="shared" si="0"/>
        <v>16620.338429328716</v>
      </c>
      <c r="M36" s="17">
        <f t="shared" si="1"/>
        <v>100729.69410155146</v>
      </c>
      <c r="N36" s="17">
        <f t="shared" si="2"/>
        <v>70222.46497282767</v>
      </c>
      <c r="O36" s="40">
        <v>84899.88</v>
      </c>
      <c r="P36" s="40">
        <v>84369.59</v>
      </c>
      <c r="Q36" s="32">
        <f t="shared" si="3"/>
        <v>-16360.104101551464</v>
      </c>
      <c r="R36" s="52" t="s">
        <v>111</v>
      </c>
    </row>
    <row r="37" spans="1:18" s="2" customFormat="1" ht="28.5" customHeight="1">
      <c r="A37" s="31">
        <v>30</v>
      </c>
      <c r="B37" s="16" t="s">
        <v>45</v>
      </c>
      <c r="C37" s="39">
        <v>1990</v>
      </c>
      <c r="D37" s="40">
        <v>996.3</v>
      </c>
      <c r="E37" s="41">
        <f>E2/D51*D37</f>
        <v>42820.73634008518</v>
      </c>
      <c r="F37" s="41">
        <f>F2/G2*D37</f>
        <v>30991.74517798359</v>
      </c>
      <c r="G37" s="15">
        <v>122588.88</v>
      </c>
      <c r="H37" s="41">
        <f>H2/D51*D37</f>
        <v>6081.7231236176185</v>
      </c>
      <c r="I37" s="40">
        <f>677.47</f>
        <v>677.47</v>
      </c>
      <c r="J37" s="50"/>
      <c r="K37" s="41">
        <f>K2/D51*D37</f>
        <v>35478.408288721264</v>
      </c>
      <c r="L37" s="17">
        <f t="shared" si="0"/>
        <v>19328.636835695343</v>
      </c>
      <c r="M37" s="17">
        <f t="shared" si="1"/>
        <v>238638.96293040767</v>
      </c>
      <c r="N37" s="17">
        <f t="shared" si="2"/>
        <v>203160.5546416864</v>
      </c>
      <c r="O37" s="40">
        <v>211633.64</v>
      </c>
      <c r="P37" s="40">
        <v>203679.02</v>
      </c>
      <c r="Q37" s="32">
        <f t="shared" si="3"/>
        <v>-34959.94293040768</v>
      </c>
      <c r="R37" s="26" t="s">
        <v>78</v>
      </c>
    </row>
    <row r="38" spans="1:18" s="2" customFormat="1" ht="17.25" customHeight="1">
      <c r="A38" s="31">
        <v>31</v>
      </c>
      <c r="B38" s="16" t="s">
        <v>46</v>
      </c>
      <c r="C38" s="39">
        <v>1990</v>
      </c>
      <c r="D38" s="40">
        <v>619</v>
      </c>
      <c r="E38" s="41">
        <f>E2/D51*D38</f>
        <v>26604.472342178793</v>
      </c>
      <c r="F38" s="17">
        <v>0</v>
      </c>
      <c r="G38" s="15"/>
      <c r="H38" s="41">
        <f>H2/D51*D38</f>
        <v>3778.5673125758367</v>
      </c>
      <c r="I38" s="47"/>
      <c r="J38" s="50"/>
      <c r="K38" s="41">
        <f>K2/D51*D38</f>
        <v>22042.692693685098</v>
      </c>
      <c r="L38" s="17">
        <f t="shared" si="0"/>
        <v>12008.85897951964</v>
      </c>
      <c r="M38" s="17">
        <f t="shared" si="1"/>
        <v>52425.73234843973</v>
      </c>
      <c r="N38" s="17">
        <f t="shared" si="2"/>
        <v>30383.03965475463</v>
      </c>
      <c r="O38" s="40">
        <v>61363.2</v>
      </c>
      <c r="P38" s="40">
        <v>62666.39</v>
      </c>
      <c r="Q38" s="32">
        <f t="shared" si="3"/>
        <v>10240.657651560272</v>
      </c>
      <c r="R38" s="26" t="s">
        <v>72</v>
      </c>
    </row>
    <row r="39" spans="1:18" s="2" customFormat="1" ht="16.5" customHeight="1">
      <c r="A39" s="31">
        <v>32</v>
      </c>
      <c r="B39" s="16" t="s">
        <v>40</v>
      </c>
      <c r="C39" s="39">
        <v>1988</v>
      </c>
      <c r="D39" s="40">
        <v>373.2</v>
      </c>
      <c r="E39" s="41">
        <f>E2/D51*D39</f>
        <v>16040.046975930736</v>
      </c>
      <c r="F39" s="41">
        <f>F2/G2*D39</f>
        <v>11609.072870042633</v>
      </c>
      <c r="G39" s="15"/>
      <c r="H39" s="41">
        <f>H2/D51*D39</f>
        <v>2278.128143866401</v>
      </c>
      <c r="I39" s="47"/>
      <c r="J39" s="49">
        <f>M2/J2*D39</f>
        <v>365.2112932923445</v>
      </c>
      <c r="K39" s="41">
        <f>K2/D51*D39</f>
        <v>13289.713914835667</v>
      </c>
      <c r="L39" s="17">
        <f t="shared" si="0"/>
        <v>7240.236140802471</v>
      </c>
      <c r="M39" s="17">
        <f t="shared" si="1"/>
        <v>43582.17319796778</v>
      </c>
      <c r="N39" s="17">
        <f t="shared" si="2"/>
        <v>30292.459283132113</v>
      </c>
      <c r="O39" s="40">
        <v>32557.92</v>
      </c>
      <c r="P39" s="40">
        <v>31536.49</v>
      </c>
      <c r="Q39" s="32">
        <f t="shared" si="3"/>
        <v>-12045.683197967777</v>
      </c>
      <c r="R39" s="26" t="s">
        <v>63</v>
      </c>
    </row>
    <row r="40" spans="1:18" s="2" customFormat="1" ht="16.5" customHeight="1">
      <c r="A40" s="31">
        <v>33</v>
      </c>
      <c r="B40" s="16" t="s">
        <v>27</v>
      </c>
      <c r="C40" s="39">
        <v>1984</v>
      </c>
      <c r="D40" s="40">
        <v>376.6</v>
      </c>
      <c r="E40" s="41">
        <f>E2/D51*D40</f>
        <v>16186.178164886162</v>
      </c>
      <c r="F40" s="17">
        <v>0</v>
      </c>
      <c r="G40" s="15"/>
      <c r="H40" s="41">
        <f>H2/D51*D40</f>
        <v>2298.8827946947663</v>
      </c>
      <c r="I40" s="40">
        <f>1806.9</f>
        <v>1806.9</v>
      </c>
      <c r="J40" s="49">
        <f>M2/J2*D40</f>
        <v>368.53851300615474</v>
      </c>
      <c r="K40" s="41">
        <f>K2/D51*D40</f>
        <v>13410.788478904375</v>
      </c>
      <c r="L40" s="17">
        <f t="shared" si="0"/>
        <v>7306.197563307102</v>
      </c>
      <c r="M40" s="17">
        <f t="shared" si="1"/>
        <v>34071.28795149146</v>
      </c>
      <c r="N40" s="17">
        <f t="shared" si="2"/>
        <v>20660.499472587086</v>
      </c>
      <c r="O40" s="40">
        <v>23047.92</v>
      </c>
      <c r="P40" s="40">
        <v>19204.56</v>
      </c>
      <c r="Q40" s="32">
        <f t="shared" si="3"/>
        <v>-14866.727951491459</v>
      </c>
      <c r="R40" s="26"/>
    </row>
    <row r="41" spans="1:18" s="2" customFormat="1" ht="15.75" customHeight="1">
      <c r="A41" s="31">
        <v>34</v>
      </c>
      <c r="B41" s="16" t="s">
        <v>28</v>
      </c>
      <c r="C41" s="39">
        <v>1960</v>
      </c>
      <c r="D41" s="40">
        <v>395.3</v>
      </c>
      <c r="E41" s="41">
        <f>E2/D51*D41</f>
        <v>16989.899704140997</v>
      </c>
      <c r="F41" s="17">
        <v>0</v>
      </c>
      <c r="G41" s="15"/>
      <c r="H41" s="41">
        <f>H2/D51*D41</f>
        <v>2413.033374250773</v>
      </c>
      <c r="I41" s="40"/>
      <c r="J41" s="49">
        <f>M2/J2*D41</f>
        <v>386.8382214321109</v>
      </c>
      <c r="K41" s="41">
        <f>K2/D51*D41</f>
        <v>14076.69858128226</v>
      </c>
      <c r="L41" s="17">
        <f t="shared" si="0"/>
        <v>7668.985387082575</v>
      </c>
      <c r="M41" s="17">
        <f t="shared" si="1"/>
        <v>33866.46988110614</v>
      </c>
      <c r="N41" s="17">
        <f t="shared" si="2"/>
        <v>19789.77129982388</v>
      </c>
      <c r="O41" s="40">
        <v>24051.6</v>
      </c>
      <c r="P41" s="41">
        <v>24225</v>
      </c>
      <c r="Q41" s="32">
        <f t="shared" si="3"/>
        <v>-9641.469881106139</v>
      </c>
      <c r="R41" s="26"/>
    </row>
    <row r="42" spans="1:18" s="2" customFormat="1" ht="28.5" customHeight="1">
      <c r="A42" s="31">
        <v>35</v>
      </c>
      <c r="B42" s="16" t="s">
        <v>30</v>
      </c>
      <c r="C42" s="39">
        <v>1970</v>
      </c>
      <c r="D42" s="40">
        <v>708.6</v>
      </c>
      <c r="E42" s="41">
        <f>E2/D51*D42</f>
        <v>30455.45896876881</v>
      </c>
      <c r="F42" s="17">
        <v>0</v>
      </c>
      <c r="G42" s="15"/>
      <c r="H42" s="41">
        <f>H2/D51*D42</f>
        <v>4325.513404993922</v>
      </c>
      <c r="I42" s="47">
        <f>985.43</f>
        <v>985.43</v>
      </c>
      <c r="J42" s="49">
        <f>M2/J2*D42</f>
        <v>693.4317321193873</v>
      </c>
      <c r="K42" s="41">
        <f>K2/D51*D42</f>
        <v>25233.363558554538</v>
      </c>
      <c r="L42" s="17">
        <f t="shared" si="0"/>
        <v>13747.136466700511</v>
      </c>
      <c r="M42" s="17">
        <f t="shared" si="1"/>
        <v>61693.19766443666</v>
      </c>
      <c r="N42" s="17">
        <f t="shared" si="2"/>
        <v>36459.834105882124</v>
      </c>
      <c r="O42" s="40">
        <v>52124.76</v>
      </c>
      <c r="P42" s="40">
        <v>52148.94</v>
      </c>
      <c r="Q42" s="32">
        <f t="shared" si="3"/>
        <v>-9544.257664436656</v>
      </c>
      <c r="R42" s="26" t="s">
        <v>82</v>
      </c>
    </row>
    <row r="43" spans="1:18" s="2" customFormat="1" ht="27" customHeight="1">
      <c r="A43" s="31">
        <v>36</v>
      </c>
      <c r="B43" s="16" t="s">
        <v>31</v>
      </c>
      <c r="C43" s="39">
        <v>1983</v>
      </c>
      <c r="D43" s="40">
        <v>383.1</v>
      </c>
      <c r="E43" s="41">
        <f>E2/D51*D43</f>
        <v>16465.546614359766</v>
      </c>
      <c r="F43" s="41">
        <f>F2/G2*D43</f>
        <v>11917.03059087174</v>
      </c>
      <c r="G43" s="15"/>
      <c r="H43" s="41">
        <f>H2/D51*D43</f>
        <v>2338.560803631346</v>
      </c>
      <c r="I43" s="40">
        <f>1513.3</f>
        <v>1513.3</v>
      </c>
      <c r="J43" s="49">
        <f>M2/J2*D43</f>
        <v>374.8993742237331</v>
      </c>
      <c r="K43" s="41">
        <f>K2/D51*D43</f>
        <v>13642.254557271019</v>
      </c>
      <c r="L43" s="17">
        <f t="shared" si="0"/>
        <v>7432.30028280125</v>
      </c>
      <c r="M43" s="17">
        <f t="shared" si="1"/>
        <v>46251.59194035761</v>
      </c>
      <c r="N43" s="17">
        <f t="shared" si="2"/>
        <v>32609.337383086593</v>
      </c>
      <c r="O43" s="42">
        <v>38019</v>
      </c>
      <c r="P43" s="42">
        <v>38390.33</v>
      </c>
      <c r="Q43" s="32">
        <f t="shared" si="3"/>
        <v>-7861.26194035761</v>
      </c>
      <c r="R43" s="26" t="s">
        <v>74</v>
      </c>
    </row>
    <row r="44" spans="1:18" s="2" customFormat="1" ht="36" customHeight="1">
      <c r="A44" s="31">
        <v>37</v>
      </c>
      <c r="B44" s="16" t="s">
        <v>32</v>
      </c>
      <c r="C44" s="39">
        <v>1987</v>
      </c>
      <c r="D44" s="40">
        <v>4309.4</v>
      </c>
      <c r="E44" s="41">
        <f>E2/D51*D44</f>
        <v>185216.98402485505</v>
      </c>
      <c r="F44" s="41">
        <f>F2/G2*D44</f>
        <v>134051.81839807535</v>
      </c>
      <c r="G44" s="15"/>
      <c r="H44" s="41">
        <f>H2/D51*D44</f>
        <v>26305.909494045736</v>
      </c>
      <c r="I44" s="40"/>
      <c r="J44" s="49">
        <f>M2/J2*D44</f>
        <v>4217.1531278510965</v>
      </c>
      <c r="K44" s="41">
        <f>K2/D51*D44</f>
        <v>153458.44894049523</v>
      </c>
      <c r="L44" s="17">
        <f t="shared" si="0"/>
        <v>83604.1629827818</v>
      </c>
      <c r="M44" s="17">
        <f t="shared" si="1"/>
        <v>503250.3139853225</v>
      </c>
      <c r="N44" s="17">
        <f t="shared" si="2"/>
        <v>349791.8650448272</v>
      </c>
      <c r="O44" s="40">
        <v>427611.85</v>
      </c>
      <c r="P44" s="40">
        <v>419523.21</v>
      </c>
      <c r="Q44" s="32">
        <f t="shared" si="3"/>
        <v>-83727.10398532246</v>
      </c>
      <c r="R44" s="52" t="s">
        <v>108</v>
      </c>
    </row>
    <row r="45" spans="1:18" s="2" customFormat="1" ht="33" customHeight="1">
      <c r="A45" s="31">
        <v>38</v>
      </c>
      <c r="B45" s="16" t="s">
        <v>33</v>
      </c>
      <c r="C45" s="39">
        <v>1986</v>
      </c>
      <c r="D45" s="40">
        <v>841.6</v>
      </c>
      <c r="E45" s="41">
        <f>E2/D51*D45</f>
        <v>36171.767242613365</v>
      </c>
      <c r="F45" s="41">
        <f>F2/G2*D45</f>
        <v>26179.516954522725</v>
      </c>
      <c r="G45" s="15"/>
      <c r="H45" s="41">
        <f>H2/D51*D45</f>
        <v>5137.386510927018</v>
      </c>
      <c r="I45" s="40">
        <f>1843.12+3339.52</f>
        <v>5182.639999999999</v>
      </c>
      <c r="J45" s="49">
        <f>M2/J2*D45</f>
        <v>823.584738571375</v>
      </c>
      <c r="K45" s="41">
        <f>K2/D51*D45</f>
        <v>29969.515623595118</v>
      </c>
      <c r="L45" s="17">
        <f t="shared" si="0"/>
        <v>16327.392111734618</v>
      </c>
      <c r="M45" s="17">
        <f t="shared" si="1"/>
        <v>103464.4110702296</v>
      </c>
      <c r="N45" s="17">
        <f t="shared" si="2"/>
        <v>73494.89544663449</v>
      </c>
      <c r="O45" s="40">
        <v>83520.36</v>
      </c>
      <c r="P45" s="40">
        <v>85023.01</v>
      </c>
      <c r="Q45" s="32">
        <f t="shared" si="3"/>
        <v>-18441.401070229607</v>
      </c>
      <c r="R45" s="52" t="s">
        <v>104</v>
      </c>
    </row>
    <row r="46" spans="1:18" s="2" customFormat="1" ht="28.5" customHeight="1">
      <c r="A46" s="31">
        <v>39</v>
      </c>
      <c r="B46" s="18" t="s">
        <v>34</v>
      </c>
      <c r="C46" s="39">
        <v>1987</v>
      </c>
      <c r="D46" s="40">
        <v>872.5</v>
      </c>
      <c r="E46" s="41">
        <f>E2/D51*D46</f>
        <v>37499.84187164943</v>
      </c>
      <c r="F46" s="41">
        <f>F2/G2*D46</f>
        <v>27140.718325595386</v>
      </c>
      <c r="G46" s="15"/>
      <c r="H46" s="41">
        <f>H2/D51*D46</f>
        <v>5326.009661102452</v>
      </c>
      <c r="I46" s="40">
        <f>2340.3</f>
        <v>2340.3</v>
      </c>
      <c r="J46" s="49">
        <f>M2/J2*D46</f>
        <v>853.823294205709</v>
      </c>
      <c r="K46" s="41">
        <f>K2/D51*D46</f>
        <v>31069.869749984242</v>
      </c>
      <c r="L46" s="17">
        <f t="shared" si="0"/>
        <v>16926.865039791413</v>
      </c>
      <c r="M46" s="17">
        <f t="shared" si="1"/>
        <v>104230.56290253722</v>
      </c>
      <c r="N46" s="17">
        <f t="shared" si="2"/>
        <v>73160.69315255298</v>
      </c>
      <c r="O46" s="40">
        <v>86408.28</v>
      </c>
      <c r="P46" s="40">
        <v>86968.98</v>
      </c>
      <c r="Q46" s="32">
        <f t="shared" si="3"/>
        <v>-17261.582902537222</v>
      </c>
      <c r="R46" s="52" t="s">
        <v>83</v>
      </c>
    </row>
    <row r="47" spans="1:18" s="2" customFormat="1" ht="27" customHeight="1">
      <c r="A47" s="31">
        <v>40</v>
      </c>
      <c r="B47" s="18" t="s">
        <v>35</v>
      </c>
      <c r="C47" s="39">
        <v>1983</v>
      </c>
      <c r="D47" s="40">
        <v>826.2</v>
      </c>
      <c r="E47" s="41">
        <f>E2/D51*D47</f>
        <v>35509.87891616821</v>
      </c>
      <c r="F47" s="41">
        <f>F2/G2*D47</f>
        <v>25700.471611010784</v>
      </c>
      <c r="G47" s="15"/>
      <c r="H47" s="41">
        <f>H2/D51*D47</f>
        <v>5043.38015129266</v>
      </c>
      <c r="I47" s="40"/>
      <c r="J47" s="49">
        <f>M2/J2*D47</f>
        <v>808.5143904558818</v>
      </c>
      <c r="K47" s="41">
        <f>K2/D51*D47</f>
        <v>29421.119068695683</v>
      </c>
      <c r="L47" s="17">
        <f t="shared" si="0"/>
        <v>16028.625668625407</v>
      </c>
      <c r="M47" s="17">
        <f t="shared" si="1"/>
        <v>96483.36413762321</v>
      </c>
      <c r="N47" s="17">
        <f t="shared" si="2"/>
        <v>67062.24506892753</v>
      </c>
      <c r="O47" s="40">
        <v>82012.32</v>
      </c>
      <c r="P47" s="40">
        <v>82534.98</v>
      </c>
      <c r="Q47" s="32">
        <f t="shared" si="3"/>
        <v>-13948.384137623216</v>
      </c>
      <c r="R47" s="52" t="s">
        <v>103</v>
      </c>
    </row>
    <row r="48" spans="1:18" s="2" customFormat="1" ht="59.25" customHeight="1">
      <c r="A48" s="31">
        <v>41</v>
      </c>
      <c r="B48" s="16" t="s">
        <v>36</v>
      </c>
      <c r="C48" s="39">
        <v>1987</v>
      </c>
      <c r="D48" s="40">
        <v>4280.1</v>
      </c>
      <c r="E48" s="41">
        <f>E2/D51*D48</f>
        <v>183957.67701415098</v>
      </c>
      <c r="F48" s="41">
        <f>F2/G2*D48</f>
        <v>133140.38797178317</v>
      </c>
      <c r="G48" s="15"/>
      <c r="H48" s="41">
        <f>H2/D51*D48</f>
        <v>26127.05323837777</v>
      </c>
      <c r="I48" s="40">
        <f>2702+629.2+39283.65</f>
        <v>42614.85</v>
      </c>
      <c r="J48" s="49">
        <f>M2/J2*D48</f>
        <v>4188.480322670322</v>
      </c>
      <c r="K48" s="41">
        <f>K2/D51*D48</f>
        <v>152415.07107955022</v>
      </c>
      <c r="L48" s="17">
        <f t="shared" si="0"/>
        <v>83035.73072413895</v>
      </c>
      <c r="M48" s="17">
        <f t="shared" si="1"/>
        <v>542443.5196265324</v>
      </c>
      <c r="N48" s="17">
        <f t="shared" si="2"/>
        <v>390028.44854698225</v>
      </c>
      <c r="O48" s="40">
        <v>424579.67</v>
      </c>
      <c r="P48" s="40">
        <v>426334.78</v>
      </c>
      <c r="Q48" s="32">
        <f t="shared" si="3"/>
        <v>-116108.73962653242</v>
      </c>
      <c r="R48" s="52" t="s">
        <v>105</v>
      </c>
    </row>
    <row r="49" spans="1:18" s="2" customFormat="1" ht="57.75" customHeight="1">
      <c r="A49" s="31">
        <v>42</v>
      </c>
      <c r="B49" s="18" t="s">
        <v>37</v>
      </c>
      <c r="C49" s="39">
        <v>1985</v>
      </c>
      <c r="D49" s="40">
        <v>4231.9</v>
      </c>
      <c r="E49" s="41">
        <f>E2/D51*D49</f>
        <v>181886.05251190052</v>
      </c>
      <c r="F49" s="41">
        <f>F2/G2*D49</f>
        <v>131641.03826027174</v>
      </c>
      <c r="G49" s="15"/>
      <c r="H49" s="41">
        <f>H2/D51*D49</f>
        <v>25832.82554134036</v>
      </c>
      <c r="I49" s="40">
        <f>2781.36</f>
        <v>2781.36</v>
      </c>
      <c r="J49" s="49">
        <f>M2/J2*D49</f>
        <v>4141.3120902568935</v>
      </c>
      <c r="K49" s="41">
        <f>K2/D51*D49</f>
        <v>150698.66108304678</v>
      </c>
      <c r="L49" s="17">
        <f t="shared" si="0"/>
        <v>82100.63055804388</v>
      </c>
      <c r="M49" s="17">
        <f t="shared" si="1"/>
        <v>496981.24948681635</v>
      </c>
      <c r="N49" s="17">
        <f t="shared" si="2"/>
        <v>346282.58840376954</v>
      </c>
      <c r="O49" s="40">
        <v>421271.53</v>
      </c>
      <c r="P49" s="40">
        <v>425625.77</v>
      </c>
      <c r="Q49" s="32">
        <f t="shared" si="3"/>
        <v>-71355.47948681633</v>
      </c>
      <c r="R49" s="26" t="s">
        <v>101</v>
      </c>
    </row>
    <row r="50" spans="1:18" s="2" customFormat="1" ht="28.5" customHeight="1">
      <c r="A50" s="31">
        <v>43</v>
      </c>
      <c r="B50" s="18" t="s">
        <v>38</v>
      </c>
      <c r="C50" s="39">
        <v>1986</v>
      </c>
      <c r="D50" s="40">
        <v>843.8</v>
      </c>
      <c r="E50" s="41">
        <f>E2/D51*D50</f>
        <v>36266.322717819814</v>
      </c>
      <c r="F50" s="41">
        <f>F2/G2*D50</f>
        <v>26247.952003595856</v>
      </c>
      <c r="G50" s="15"/>
      <c r="H50" s="41">
        <f>H2/D51*D50</f>
        <v>5150.815990874783</v>
      </c>
      <c r="I50" s="40">
        <f>5770.2</f>
        <v>5770.2</v>
      </c>
      <c r="J50" s="49">
        <f>M2/J2*D50</f>
        <v>825.7376454450168</v>
      </c>
      <c r="K50" s="41">
        <f>K2/D51*D50</f>
        <v>30047.85798858075</v>
      </c>
      <c r="L50" s="17">
        <f t="shared" si="0"/>
        <v>16370.07303217879</v>
      </c>
      <c r="M50" s="17">
        <f t="shared" si="1"/>
        <v>104308.88634631621</v>
      </c>
      <c r="N50" s="17">
        <f t="shared" si="2"/>
        <v>74261.02835773546</v>
      </c>
      <c r="O50" s="41">
        <v>83739</v>
      </c>
      <c r="P50" s="40">
        <v>85199.4</v>
      </c>
      <c r="Q50" s="32">
        <f t="shared" si="3"/>
        <v>-19109.48634631622</v>
      </c>
      <c r="R50" s="26" t="s">
        <v>84</v>
      </c>
    </row>
    <row r="51" spans="1:18" ht="19.5" customHeight="1" thickBot="1">
      <c r="A51" s="33"/>
      <c r="B51" s="34" t="s">
        <v>39</v>
      </c>
      <c r="C51" s="43"/>
      <c r="D51" s="44">
        <f aca="true" t="shared" si="4" ref="D51:I51">SUM(D8:D50)</f>
        <v>64463.140000000014</v>
      </c>
      <c r="E51" s="45">
        <f t="shared" si="4"/>
        <v>2770610.379999999</v>
      </c>
      <c r="F51" s="45">
        <f t="shared" si="4"/>
        <v>1934308.5742736198</v>
      </c>
      <c r="G51" s="36">
        <f t="shared" si="4"/>
        <v>627744.41</v>
      </c>
      <c r="H51" s="48">
        <f t="shared" si="4"/>
        <v>459550.73999999976</v>
      </c>
      <c r="I51" s="48">
        <f t="shared" si="4"/>
        <v>272767.9099999999</v>
      </c>
      <c r="J51" s="46">
        <f aca="true" t="shared" si="5" ref="J51:Q51">SUM(J8:J50)</f>
        <v>57942.25914376133</v>
      </c>
      <c r="K51" s="46">
        <f t="shared" si="5"/>
        <v>2295543.109999999</v>
      </c>
      <c r="L51" s="35">
        <f t="shared" si="5"/>
        <v>1250611.8863279992</v>
      </c>
      <c r="M51" s="37">
        <f t="shared" si="5"/>
        <v>8418467.38341738</v>
      </c>
      <c r="N51" s="35">
        <f t="shared" si="5"/>
        <v>6122924.2734173825</v>
      </c>
      <c r="O51" s="46">
        <f t="shared" si="5"/>
        <v>6796160.299999999</v>
      </c>
      <c r="P51" s="45">
        <f t="shared" si="5"/>
        <v>6652032.08</v>
      </c>
      <c r="Q51" s="38">
        <f t="shared" si="5"/>
        <v>-1766435.303417379</v>
      </c>
      <c r="R51" s="28"/>
    </row>
    <row r="52" spans="1:4" ht="16.5" customHeight="1">
      <c r="A52" s="22" t="s">
        <v>100</v>
      </c>
      <c r="B52" s="5"/>
      <c r="C52" s="4"/>
      <c r="D52" s="6"/>
    </row>
    <row r="53" spans="1:4" ht="16.5" customHeight="1">
      <c r="A53" s="22" t="s">
        <v>86</v>
      </c>
      <c r="B53" s="5"/>
      <c r="C53" s="4"/>
      <c r="D53" s="6"/>
    </row>
    <row r="54" spans="1:4" ht="16.5" customHeight="1">
      <c r="A54" s="19" t="s">
        <v>87</v>
      </c>
      <c r="B54" s="5"/>
      <c r="C54" s="4"/>
      <c r="D54" s="6"/>
    </row>
    <row r="55" spans="1:4" ht="16.5" customHeight="1">
      <c r="A55" s="19" t="s">
        <v>88</v>
      </c>
      <c r="B55" s="5"/>
      <c r="C55" s="4"/>
      <c r="D55" s="6"/>
    </row>
    <row r="56" spans="1:4" ht="11.25" customHeight="1">
      <c r="A56" s="19"/>
      <c r="B56" s="5"/>
      <c r="C56" s="4"/>
      <c r="D56" s="6"/>
    </row>
    <row r="57" spans="1:4" ht="11.25" customHeight="1">
      <c r="A57" s="1"/>
      <c r="B57" s="10"/>
      <c r="C57" s="11"/>
      <c r="D57" s="12"/>
    </row>
    <row r="58" spans="2:4" ht="11.25" customHeight="1">
      <c r="B58" s="7"/>
      <c r="C58" s="7"/>
      <c r="D58" s="7"/>
    </row>
    <row r="59" spans="2:4" ht="12.75">
      <c r="B59" s="7"/>
      <c r="C59" s="7"/>
      <c r="D59" s="7"/>
    </row>
  </sheetData>
  <sheetProtection/>
  <mergeCells count="19">
    <mergeCell ref="C5:C6"/>
    <mergeCell ref="D5:D6"/>
    <mergeCell ref="E4:Q4"/>
    <mergeCell ref="A4:D4"/>
    <mergeCell ref="E5:E6"/>
    <mergeCell ref="F5:F6"/>
    <mergeCell ref="G5:G6"/>
    <mergeCell ref="P5:P6"/>
    <mergeCell ref="Q5:Q6"/>
    <mergeCell ref="A3:Q3"/>
    <mergeCell ref="R3:R6"/>
    <mergeCell ref="A5:A6"/>
    <mergeCell ref="H5:H6"/>
    <mergeCell ref="I5:I6"/>
    <mergeCell ref="J5:J6"/>
    <mergeCell ref="K5:L5"/>
    <mergeCell ref="M5:M6"/>
    <mergeCell ref="O5:O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rowBreaks count="2" manualBreakCount="2">
    <brk id="23" max="17" man="1"/>
    <brk id="55" max="17" man="1"/>
  </rowBreaks>
  <colBreaks count="1" manualBreakCount="1">
    <brk id="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ANTONINA</cp:lastModifiedBy>
  <cp:lastPrinted>2013-04-10T10:25:00Z</cp:lastPrinted>
  <dcterms:created xsi:type="dcterms:W3CDTF">2011-01-17T06:18:12Z</dcterms:created>
  <dcterms:modified xsi:type="dcterms:W3CDTF">2013-04-22T08:19:16Z</dcterms:modified>
  <cp:category/>
  <cp:version/>
  <cp:contentType/>
  <cp:contentStatus/>
</cp:coreProperties>
</file>