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<sst xmlns="http://schemas.openxmlformats.org/spreadsheetml/2006/main" count="123" uniqueCount="123">
  <si>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</si>
  <si>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</si>
  <si>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</si>
  <si>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</si>
  <si>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</si>
  <si>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</si>
  <si>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</si>
  <si>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</si>
  <si>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</si>
  <si>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</si>
  <si>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</si>
  <si>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</si>
  <si>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</si>
  <si>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</si>
  <si>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</si>
  <si>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</si>
  <si>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</si>
  <si>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</si>
  <si>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</si>
  <si>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</si>
  <si>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</si>
  <si>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</si>
  <si>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</si>
  <si>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</si>
  <si>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</si>
  <si>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</si>
  <si>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</si>
  <si>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</si>
  <si>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</si>
  <si>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</si>
  <si>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</si>
  <si>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</si>
  <si>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</si>
  <si>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</si>
  <si>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</si>
  <si>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</si>
  <si>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</si>
  <si>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</si>
  <si>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</si>
  <si>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</si>
  <si>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</si>
  <si>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</si>
  <si>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</si>
  <si>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</si>
  <si>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</si>
  <si>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</si>
  <si>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</si>
  <si>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</si>
  <si>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</si>
  <si>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</si>
  <si>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</si>
  <si>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</si>
  <si>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</si>
  <si>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</si>
  <si>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</si>
  <si>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</si>
  <si>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</si>
  <si>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</si>
  <si>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</si>
  <si>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</si>
  <si>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</si>
  <si>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</si>
  <si>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</si>
  <si>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</si>
  <si>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</si>
  <si>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</si>
  <si>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</si>
  <si>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</si>
  <si>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</si>
  <si>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</si>
  <si>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</si>
  <si>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</si>
  <si>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</si>
  <si>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</si>
  <si>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</si>
  <si>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</si>
  <si>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</si>
  <si>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</si>
  <si>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</si>
  <si>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</si>
  <si>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</si>
  <si>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</si>
  <si>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</si>
  <si>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</si>
  <si>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 xml:space="preserve"> 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</si>
  <si>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</si>
  <si>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</si>
  <si>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</si>
  <si>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</si>
  <si>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</si>
  <si>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</si>
  <si>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</si>
  <si>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</si>
  <si>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</si>
  <si>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</si>
  <si>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</si>
  <si>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</si>
  <si>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</si>
  <si>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</si>
  <si>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</si>
  <si>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</si>
  <si>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</si>
  <si>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</si>
  <si>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</si>
  <si>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</si>
  <si>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</si>
  <si>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</si>
  <si>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</si>
  <si>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</si>
  <si>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</si>
  <si>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</si>
  <si>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</si>
  <si>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</si>
  <si>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</si>
  <si>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 xml:space="preserve">ОДН Березкинское 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</si>
  <si>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</si>
  <si>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</si>
  <si>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</si>
  <si>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</si>
  <si>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</si>
  <si>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</si>
  <si>
    <r>
      <t>Площадь, м</t>
    </r>
    <r>
      <rPr>
        <vertAlign val="superscript"/>
        <sz val="11"/>
        <rFont val="Times New Roman"/>
        <family val="1"/>
      </rPr>
      <t>2   по тех паспорту.</t>
    </r>
  </si>
  <si>
    <t>ОТЧЕТ ПО МНОГОКВАРТИРНЫМ ДОМАМ ЗА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</si>
</sst>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2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172" fontId="1" fillId="33" borderId="13" xfId="0" applyNumberFormat="1" applyFont="1" applyFill="1" applyBorder="1" applyAlignment="1" applyProtection="1">
      <alignment horizontal="center" vertical="top"/>
      <protection/>
    </xf>
    <xf numFmtId="0" fontId="1" fillId="33" borderId="14" xfId="0" applyNumberFormat="1" applyFont="1" applyFill="1" applyBorder="1" applyAlignment="1" applyProtection="1">
      <alignment horizontal="center" vertical="top"/>
      <protection/>
    </xf>
    <xf numFmtId="172" fontId="0" fillId="33" borderId="11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4" fillId="33" borderId="14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2" fontId="6" fillId="33" borderId="10" xfId="0" applyNumberFormat="1" applyFont="1" applyFill="1" applyBorder="1" applyAlignment="1" applyProtection="1">
      <alignment horizontal="center" vertical="top"/>
      <protection/>
    </xf>
    <xf numFmtId="0" fontId="51" fillId="34" borderId="0" xfId="0" applyNumberFormat="1" applyFont="1" applyFill="1" applyBorder="1" applyAlignment="1" applyProtection="1">
      <alignment vertical="top"/>
      <protection/>
    </xf>
    <xf numFmtId="0" fontId="51" fillId="33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/>
      <protection/>
    </xf>
    <xf numFmtId="0" fontId="51" fillId="33" borderId="0" xfId="0" applyNumberFormat="1" applyFont="1" applyFill="1" applyBorder="1" applyAlignment="1" applyProtection="1">
      <alignment vertical="top" wrapText="1"/>
      <protection/>
    </xf>
    <xf numFmtId="0" fontId="4" fillId="33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2" fillId="21" borderId="0" xfId="0" applyNumberFormat="1" applyFont="1" applyFill="1" applyBorder="1" applyAlignment="1" applyProtection="1">
      <alignment vertical="top"/>
      <protection/>
    </xf>
    <xf numFmtId="0" fontId="52" fillId="21" borderId="0" xfId="0" applyNumberFormat="1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center" vertical="top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2" fontId="6" fillId="33" borderId="18" xfId="0" applyNumberFormat="1" applyFont="1" applyFill="1" applyBorder="1" applyAlignment="1" applyProtection="1">
      <alignment horizontal="center" vertical="top"/>
      <protection/>
    </xf>
    <xf numFmtId="172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4" fillId="33" borderId="21" xfId="0" applyNumberFormat="1" applyFont="1" applyFill="1" applyBorder="1" applyAlignment="1" applyProtection="1">
      <alignment horizontal="center" vertical="top"/>
      <protection/>
    </xf>
    <xf numFmtId="0" fontId="4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2" fontId="53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top"/>
      <protection/>
    </xf>
    <xf numFmtId="0" fontId="4" fillId="33" borderId="25" xfId="0" applyNumberFormat="1" applyFont="1" applyFill="1" applyBorder="1" applyAlignment="1" applyProtection="1">
      <alignment horizontal="center" vertical="top"/>
      <protection/>
    </xf>
    <xf numFmtId="0" fontId="4" fillId="33" borderId="26" xfId="0" applyNumberFormat="1" applyFont="1" applyFill="1" applyBorder="1" applyAlignment="1" applyProtection="1">
      <alignment horizontal="center" vertical="top"/>
      <protection/>
    </xf>
    <xf numFmtId="2" fontId="1" fillId="33" borderId="27" xfId="0" applyNumberFormat="1" applyFont="1" applyFill="1" applyBorder="1" applyAlignment="1" applyProtection="1">
      <alignment horizontal="center" vertical="top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54" fillId="33" borderId="18" xfId="0" applyNumberFormat="1" applyFont="1" applyFill="1" applyBorder="1" applyAlignment="1" applyProtection="1">
      <alignment horizontal="center" vertical="top"/>
      <protection/>
    </xf>
    <xf numFmtId="0" fontId="54" fillId="33" borderId="36" xfId="0" applyNumberFormat="1" applyFont="1" applyFill="1" applyBorder="1" applyAlignment="1" applyProtection="1">
      <alignment horizontal="center" vertical="top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55" fillId="33" borderId="25" xfId="0" applyNumberFormat="1" applyFont="1" applyFill="1" applyBorder="1" applyAlignment="1" applyProtection="1">
      <alignment horizontal="center" vertical="top"/>
      <protection/>
    </xf>
    <xf numFmtId="0" fontId="55" fillId="33" borderId="40" xfId="0" applyNumberFormat="1" applyFont="1" applyFill="1" applyBorder="1" applyAlignment="1" applyProtection="1">
      <alignment horizontal="center" vertical="top"/>
      <protection/>
    </xf>
    <xf numFmtId="0" fontId="54" fillId="33" borderId="41" xfId="0" applyNumberFormat="1" applyFont="1" applyFill="1" applyBorder="1" applyAlignment="1" applyProtection="1">
      <alignment horizontal="center" vertical="top"/>
      <protection/>
    </xf>
    <xf numFmtId="0" fontId="54" fillId="33" borderId="27" xfId="0" applyNumberFormat="1" applyFont="1" applyFill="1" applyBorder="1" applyAlignment="1" applyProtection="1">
      <alignment horizontal="center" vertical="top"/>
      <protection/>
    </xf>
    <xf numFmtId="0" fontId="1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8" xfId="0" applyNumberFormat="1" applyFont="1" applyFill="1" applyBorder="1" applyAlignment="1" applyProtection="1">
      <alignment horizontal="center" vertical="top" wrapText="1"/>
      <protection/>
    </xf>
    <xf numFmtId="2" fontId="1" fillId="33" borderId="27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workbookViewId="0" topLeftCell="L8">
      <selection activeCell="T13" sqref="T13"/>
    </sheetView>
  </sheetViews>
  <sheetFormatPr defaultColWidth="9.28125" defaultRowHeight="51.75" customHeight="1"/>
  <cols>
    <col min="1" max="1" width="5.8515625" style="0" customWidth="1"/>
    <col min="2" max="2" width="58.140625" style="0" customWidth="1"/>
    <col min="3" max="3" width="9.28125" style="0" customWidth="1"/>
    <col min="4" max="4" width="9.28125" style="0" hidden="1" customWidth="1"/>
    <col min="5" max="5" width="10.7109375" style="0" customWidth="1"/>
    <col min="6" max="6" width="15.00390625" style="5" customWidth="1"/>
    <col min="7" max="7" width="15.421875" style="5" customWidth="1"/>
    <col min="8" max="8" width="13.8515625" style="5" customWidth="1"/>
    <col min="9" max="9" width="13.421875" style="5" customWidth="1"/>
    <col min="10" max="10" width="13.00390625" style="1" customWidth="1"/>
    <col min="11" max="11" width="14.421875" style="1" customWidth="1"/>
    <col min="12" max="12" width="11.57421875" style="1" customWidth="1"/>
    <col min="13" max="14" width="11.8515625" style="1" customWidth="1"/>
    <col min="15" max="15" width="14.00390625" style="1" customWidth="1"/>
    <col min="16" max="16" width="14.421875" style="48" customWidth="1"/>
    <col min="17" max="17" width="15.00390625" style="48" customWidth="1"/>
    <col min="18" max="18" width="23.28125" style="1" customWidth="1"/>
    <col min="19" max="19" width="33.140625" style="1" customWidth="1"/>
    <col min="20" max="20" width="23.28125" style="1" customWidth="1"/>
  </cols>
  <sheetData>
    <row r="1" spans="5:20" s="23" customFormat="1" ht="51.75" customHeight="1" hidden="1" thickBot="1">
      <c r="E1" s="39"/>
      <c r="F1" s="5"/>
      <c r="G1" s="5"/>
      <c r="H1" s="5" t="s">
        <v>45</v>
      </c>
      <c r="I1" s="5"/>
      <c r="J1" s="5"/>
      <c r="K1" s="5" t="s">
        <v>44</v>
      </c>
      <c r="L1" s="24"/>
      <c r="M1" s="24"/>
      <c r="N1" s="24"/>
      <c r="O1" s="5"/>
      <c r="P1" s="5"/>
      <c r="Q1" s="24"/>
      <c r="R1" s="24"/>
      <c r="S1" s="24"/>
      <c r="T1" s="24"/>
    </row>
    <row r="2" spans="5:20" s="23" customFormat="1" ht="51.75" customHeight="1" hidden="1">
      <c r="E2" s="39"/>
      <c r="F2" s="5"/>
      <c r="G2" s="5"/>
      <c r="H2" s="5"/>
      <c r="I2" s="5"/>
      <c r="J2" s="5"/>
      <c r="K2" s="5" t="s">
        <v>115</v>
      </c>
      <c r="L2" s="24"/>
      <c r="M2" s="5"/>
      <c r="N2" s="45"/>
      <c r="O2" s="5"/>
      <c r="P2" s="5"/>
      <c r="Q2" s="24"/>
      <c r="R2" s="24"/>
      <c r="S2" s="24"/>
      <c r="T2" s="24"/>
    </row>
    <row r="3" spans="5:20" s="23" customFormat="1" ht="72" customHeight="1" hidden="1">
      <c r="E3" s="40" t="s">
        <v>118</v>
      </c>
      <c r="F3" s="5"/>
      <c r="G3" s="5" t="s">
        <v>105</v>
      </c>
      <c r="H3" s="51" t="s">
        <v>106</v>
      </c>
      <c r="I3" s="52"/>
      <c r="J3" s="5"/>
      <c r="K3" s="5"/>
      <c r="L3" s="24"/>
      <c r="M3" s="5"/>
      <c r="N3" s="5" t="s">
        <v>74</v>
      </c>
      <c r="O3" s="5"/>
      <c r="P3" s="5"/>
      <c r="Q3" s="24"/>
      <c r="R3" s="24"/>
      <c r="S3" s="24"/>
      <c r="T3" s="24"/>
    </row>
    <row r="4" spans="5:20" s="23" customFormat="1" ht="54" customHeight="1" hidden="1">
      <c r="E4" s="39" t="s">
        <v>104</v>
      </c>
      <c r="F4" s="53">
        <v>3697743.47</v>
      </c>
      <c r="G4" s="54">
        <f>3294986.14+1244361.28</f>
        <v>4539347.42</v>
      </c>
      <c r="H4" s="53">
        <v>62951</v>
      </c>
      <c r="I4" s="55" t="s">
        <v>117</v>
      </c>
      <c r="J4" s="5"/>
      <c r="K4" s="5"/>
      <c r="L4" s="24"/>
      <c r="M4" s="5">
        <v>5261543.11</v>
      </c>
      <c r="N4" s="45" t="s">
        <v>107</v>
      </c>
      <c r="O4" s="5"/>
      <c r="P4" s="5"/>
      <c r="Q4" s="24"/>
      <c r="R4" s="24"/>
      <c r="S4" s="24"/>
      <c r="T4" s="24"/>
    </row>
    <row r="5" spans="5:20" s="23" customFormat="1" ht="51.75" customHeight="1" hidden="1">
      <c r="E5" s="39"/>
      <c r="F5" s="53">
        <f>SUM(F3:F4)</f>
        <v>3697743.47</v>
      </c>
      <c r="G5" s="53"/>
      <c r="H5" s="53"/>
      <c r="I5" s="53">
        <v>59835.06</v>
      </c>
      <c r="J5" s="5"/>
      <c r="K5" s="5"/>
      <c r="L5" s="24"/>
      <c r="M5" s="24"/>
      <c r="N5" s="26"/>
      <c r="O5" s="5"/>
      <c r="P5" s="5"/>
      <c r="Q5" s="24"/>
      <c r="R5" s="24"/>
      <c r="S5" s="24"/>
      <c r="T5" s="24"/>
    </row>
    <row r="6" spans="5:20" s="23" customFormat="1" ht="51" customHeight="1" hidden="1">
      <c r="E6" s="38"/>
      <c r="F6" s="5"/>
      <c r="G6" s="5"/>
      <c r="H6" s="24"/>
      <c r="I6" s="24"/>
      <c r="J6" s="24"/>
      <c r="K6" s="24"/>
      <c r="L6" s="24"/>
      <c r="M6" s="24">
        <f>SUM(M2:M5)</f>
        <v>5261543.11</v>
      </c>
      <c r="N6" s="26"/>
      <c r="O6" s="5"/>
      <c r="P6" s="5"/>
      <c r="Q6" s="24"/>
      <c r="R6" s="24"/>
      <c r="S6" s="24"/>
      <c r="T6" s="24"/>
    </row>
    <row r="7" spans="1:20" s="23" customFormat="1" ht="49.5" customHeight="1" hidden="1" thickBot="1">
      <c r="A7" s="24"/>
      <c r="B7" s="24"/>
      <c r="C7" s="24"/>
      <c r="D7" s="24"/>
      <c r="E7" s="25"/>
      <c r="F7" s="24"/>
      <c r="G7" s="24" t="s">
        <v>114</v>
      </c>
      <c r="H7" s="24">
        <f>17290.02+1428</f>
        <v>18718.02</v>
      </c>
      <c r="I7" s="24"/>
      <c r="J7" s="24"/>
      <c r="K7" s="24"/>
      <c r="L7" s="24"/>
      <c r="M7" s="24"/>
      <c r="N7" s="26"/>
      <c r="O7" s="24"/>
      <c r="P7" s="24"/>
      <c r="Q7" s="24"/>
      <c r="R7" s="24"/>
      <c r="S7" s="24"/>
      <c r="T7" s="24"/>
    </row>
    <row r="8" spans="1:19" ht="51.75" customHeight="1" thickBot="1">
      <c r="A8" s="78" t="s">
        <v>122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6" t="s">
        <v>116</v>
      </c>
    </row>
    <row r="9" spans="1:19" ht="51.75" customHeight="1">
      <c r="A9" s="73"/>
      <c r="B9" s="80"/>
      <c r="C9" s="80"/>
      <c r="D9" s="80"/>
      <c r="E9" s="81"/>
      <c r="F9" s="72" t="s">
        <v>103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7"/>
    </row>
    <row r="10" spans="1:19" s="1" customFormat="1" ht="51.75" customHeight="1">
      <c r="A10" s="70" t="s">
        <v>63</v>
      </c>
      <c r="B10" s="70" t="s">
        <v>0</v>
      </c>
      <c r="C10" s="61" t="s">
        <v>1</v>
      </c>
      <c r="D10" s="61" t="s">
        <v>110</v>
      </c>
      <c r="E10" s="61" t="s">
        <v>121</v>
      </c>
      <c r="F10" s="63" t="s">
        <v>54</v>
      </c>
      <c r="G10" s="61" t="s">
        <v>55</v>
      </c>
      <c r="H10" s="61" t="s">
        <v>46</v>
      </c>
      <c r="I10" s="61" t="s">
        <v>47</v>
      </c>
      <c r="J10" s="61" t="s">
        <v>48</v>
      </c>
      <c r="K10" s="61" t="s">
        <v>120</v>
      </c>
      <c r="L10" s="61" t="s">
        <v>119</v>
      </c>
      <c r="M10" s="74" t="s">
        <v>56</v>
      </c>
      <c r="N10" s="75"/>
      <c r="O10" s="61" t="s">
        <v>62</v>
      </c>
      <c r="P10" s="68" t="s">
        <v>59</v>
      </c>
      <c r="Q10" s="61" t="s">
        <v>60</v>
      </c>
      <c r="R10" s="82" t="s">
        <v>61</v>
      </c>
      <c r="S10" s="77"/>
    </row>
    <row r="11" spans="1:19" s="1" customFormat="1" ht="63.75" customHeight="1" thickBot="1">
      <c r="A11" s="71"/>
      <c r="B11" s="71"/>
      <c r="C11" s="62"/>
      <c r="D11" s="62"/>
      <c r="E11" s="62"/>
      <c r="F11" s="64"/>
      <c r="G11" s="62"/>
      <c r="H11" s="62"/>
      <c r="I11" s="62"/>
      <c r="J11" s="65"/>
      <c r="K11" s="65"/>
      <c r="L11" s="65"/>
      <c r="M11" s="50" t="s">
        <v>57</v>
      </c>
      <c r="N11" s="50" t="s">
        <v>58</v>
      </c>
      <c r="O11" s="62"/>
      <c r="P11" s="69"/>
      <c r="Q11" s="62"/>
      <c r="R11" s="83"/>
      <c r="S11" s="77"/>
    </row>
    <row r="12" spans="1:19" s="19" customFormat="1" ht="24.75" customHeight="1" thickBot="1">
      <c r="A12" s="17">
        <v>1</v>
      </c>
      <c r="B12" s="18">
        <v>2</v>
      </c>
      <c r="C12" s="18">
        <v>3</v>
      </c>
      <c r="D12" s="18"/>
      <c r="E12" s="18">
        <v>4</v>
      </c>
      <c r="F12" s="56">
        <v>5</v>
      </c>
      <c r="G12" s="56">
        <v>6</v>
      </c>
      <c r="H12" s="56">
        <v>7</v>
      </c>
      <c r="I12" s="46">
        <v>8</v>
      </c>
      <c r="J12" s="57">
        <v>9</v>
      </c>
      <c r="K12" s="57">
        <v>10</v>
      </c>
      <c r="L12" s="56">
        <v>11</v>
      </c>
      <c r="M12" s="58">
        <v>12</v>
      </c>
      <c r="N12" s="42">
        <v>13</v>
      </c>
      <c r="O12" s="27">
        <v>14</v>
      </c>
      <c r="P12" s="47">
        <v>15</v>
      </c>
      <c r="Q12" s="46">
        <v>16</v>
      </c>
      <c r="R12" s="27">
        <v>17</v>
      </c>
      <c r="S12" s="27">
        <v>18</v>
      </c>
    </row>
    <row r="13" spans="1:19" s="13" customFormat="1" ht="51.75" customHeight="1" thickBot="1">
      <c r="A13" s="8" t="s">
        <v>2</v>
      </c>
      <c r="B13" s="49" t="s">
        <v>3</v>
      </c>
      <c r="C13" s="9">
        <v>1990</v>
      </c>
      <c r="D13" s="10">
        <v>731</v>
      </c>
      <c r="E13" s="10">
        <v>731</v>
      </c>
      <c r="F13" s="85">
        <f>F4/E56*E13</f>
        <v>41832.46089705197</v>
      </c>
      <c r="G13" s="85">
        <f>(G4/H4*E13)</f>
        <v>52711.83879557115</v>
      </c>
      <c r="H13" s="85">
        <v>4651.92</v>
      </c>
      <c r="I13" s="85">
        <f>1946.97</f>
        <v>1946.97</v>
      </c>
      <c r="J13" s="86">
        <v>0</v>
      </c>
      <c r="K13" s="87">
        <v>2663.83</v>
      </c>
      <c r="L13" s="88">
        <v>0</v>
      </c>
      <c r="M13" s="59">
        <f>M4/E56*E13</f>
        <v>59523.67929061023</v>
      </c>
      <c r="N13" s="41">
        <f>M13*54.48%</f>
        <v>32428.50047752445</v>
      </c>
      <c r="O13" s="41">
        <f>SUM(F13:M13)</f>
        <v>163330.69898323333</v>
      </c>
      <c r="P13" s="84">
        <v>168318.23</v>
      </c>
      <c r="Q13" s="84">
        <v>180039.27</v>
      </c>
      <c r="R13" s="43">
        <f aca="true" t="shared" si="0" ref="R13:R55">Q13-O13</f>
        <v>16708.571016766655</v>
      </c>
      <c r="S13" s="44" t="s">
        <v>88</v>
      </c>
    </row>
    <row r="14" spans="1:19" s="13" customFormat="1" ht="51.75" customHeight="1" thickBot="1">
      <c r="A14" s="11">
        <v>2</v>
      </c>
      <c r="B14" s="49" t="s">
        <v>8</v>
      </c>
      <c r="C14" s="7">
        <v>1978</v>
      </c>
      <c r="D14" s="7">
        <v>868.6</v>
      </c>
      <c r="E14" s="7">
        <v>868.6</v>
      </c>
      <c r="F14" s="89">
        <f>F4/E56*E14</f>
        <v>49706.80647767352</v>
      </c>
      <c r="G14" s="89">
        <f>(G4/H4*E14)</f>
        <v>62634.06727473749</v>
      </c>
      <c r="H14" s="89">
        <v>14510.7</v>
      </c>
      <c r="I14" s="89">
        <v>2313.46</v>
      </c>
      <c r="J14" s="90">
        <v>0</v>
      </c>
      <c r="K14" s="87">
        <v>3563.97</v>
      </c>
      <c r="L14" s="88">
        <v>0</v>
      </c>
      <c r="M14" s="60">
        <f>M4/E56*E14</f>
        <v>70728.13656884275</v>
      </c>
      <c r="N14" s="3">
        <f aca="true" t="shared" si="1" ref="N14:N55">M14*54.48%</f>
        <v>38532.688802705525</v>
      </c>
      <c r="O14" s="3">
        <f>SUM(F14:M14)</f>
        <v>203457.14032125377</v>
      </c>
      <c r="P14" s="6">
        <v>182515.22</v>
      </c>
      <c r="Q14" s="6">
        <v>151086.49</v>
      </c>
      <c r="R14" s="2">
        <f t="shared" si="0"/>
        <v>-52370.65032125378</v>
      </c>
      <c r="S14" s="4" t="s">
        <v>89</v>
      </c>
    </row>
    <row r="15" spans="1:19" s="13" customFormat="1" ht="51.75" customHeight="1" thickBot="1">
      <c r="A15" s="11">
        <v>3</v>
      </c>
      <c r="B15" s="49" t="s">
        <v>9</v>
      </c>
      <c r="C15" s="7">
        <v>1988</v>
      </c>
      <c r="D15" s="7">
        <v>732.3</v>
      </c>
      <c r="E15" s="7">
        <v>732.3</v>
      </c>
      <c r="F15" s="89">
        <f>F4/E56*E15</f>
        <v>41906.85515035726</v>
      </c>
      <c r="G15" s="89">
        <f>(G4/H4*E15)</f>
        <v>52805.58077974932</v>
      </c>
      <c r="H15" s="89">
        <v>-1815.68</v>
      </c>
      <c r="I15" s="89">
        <f>2060.44</f>
        <v>2060.44</v>
      </c>
      <c r="J15" s="90">
        <v>0</v>
      </c>
      <c r="K15" s="87">
        <v>1762.87</v>
      </c>
      <c r="L15" s="88">
        <v>0</v>
      </c>
      <c r="M15" s="60">
        <f>M4/E56*E15</f>
        <v>59629.53535501213</v>
      </c>
      <c r="N15" s="3">
        <f t="shared" si="1"/>
        <v>32486.170861410606</v>
      </c>
      <c r="O15" s="3">
        <f aca="true" t="shared" si="2" ref="O15:O55">SUM(F15:M15)</f>
        <v>156349.60128511873</v>
      </c>
      <c r="P15" s="6">
        <v>170405.67</v>
      </c>
      <c r="Q15" s="6">
        <v>169943.29</v>
      </c>
      <c r="R15" s="2">
        <f t="shared" si="0"/>
        <v>13593.688714881282</v>
      </c>
      <c r="S15" s="4" t="s">
        <v>78</v>
      </c>
    </row>
    <row r="16" spans="1:19" s="13" customFormat="1" ht="51.75" customHeight="1" thickBot="1">
      <c r="A16" s="11">
        <v>4</v>
      </c>
      <c r="B16" s="49" t="s">
        <v>4</v>
      </c>
      <c r="C16" s="7">
        <v>1991</v>
      </c>
      <c r="D16" s="7">
        <v>719.2</v>
      </c>
      <c r="E16" s="7">
        <v>719.2</v>
      </c>
      <c r="F16" s="89">
        <f>F4/E56*E16</f>
        <v>41157.18998243472</v>
      </c>
      <c r="G16" s="89">
        <f>(G4/H4*E16)</f>
        <v>51860.95001610777</v>
      </c>
      <c r="H16" s="89">
        <v>2656.56</v>
      </c>
      <c r="I16" s="89">
        <v>2025.54</v>
      </c>
      <c r="J16" s="90">
        <v>0</v>
      </c>
      <c r="K16" s="87">
        <v>1789.58</v>
      </c>
      <c r="L16" s="88">
        <v>0</v>
      </c>
      <c r="M16" s="60">
        <f>M4/E56*E16</f>
        <v>58562.83193680832</v>
      </c>
      <c r="N16" s="3">
        <f t="shared" si="1"/>
        <v>31905.030839173167</v>
      </c>
      <c r="O16" s="3">
        <f t="shared" si="2"/>
        <v>158052.6519353508</v>
      </c>
      <c r="P16" s="6">
        <v>167698.51</v>
      </c>
      <c r="Q16" s="6">
        <v>163060.67</v>
      </c>
      <c r="R16" s="2">
        <f t="shared" si="0"/>
        <v>5008.018064649223</v>
      </c>
      <c r="S16" s="12" t="s">
        <v>77</v>
      </c>
    </row>
    <row r="17" spans="1:19" s="13" customFormat="1" ht="51.75" customHeight="1" thickBot="1">
      <c r="A17" s="11">
        <v>5</v>
      </c>
      <c r="B17" s="49" t="s">
        <v>28</v>
      </c>
      <c r="C17" s="7">
        <v>1991</v>
      </c>
      <c r="D17" s="7">
        <v>721.5</v>
      </c>
      <c r="E17" s="7">
        <v>721.5</v>
      </c>
      <c r="F17" s="89">
        <f>F4/E56*E17</f>
        <v>41288.81058443639</v>
      </c>
      <c r="G17" s="89">
        <f>(G4/H4*E17)</f>
        <v>52026.801218884524</v>
      </c>
      <c r="H17" s="89">
        <v>2426.92</v>
      </c>
      <c r="I17" s="89">
        <f>621.98+5613.37</f>
        <v>6235.35</v>
      </c>
      <c r="J17" s="90">
        <v>65341.5</v>
      </c>
      <c r="K17" s="87">
        <v>1762.87</v>
      </c>
      <c r="L17" s="88">
        <v>0</v>
      </c>
      <c r="M17" s="60">
        <f>M4/E56*E17</f>
        <v>58750.11574305784</v>
      </c>
      <c r="N17" s="3">
        <f t="shared" si="1"/>
        <v>32007.063056817908</v>
      </c>
      <c r="O17" s="3">
        <f t="shared" si="2"/>
        <v>227832.36754637872</v>
      </c>
      <c r="P17" s="6">
        <v>168183.48</v>
      </c>
      <c r="Q17" s="6">
        <v>165641.66</v>
      </c>
      <c r="R17" s="2">
        <f t="shared" si="0"/>
        <v>-62190.70754637872</v>
      </c>
      <c r="S17" s="12" t="s">
        <v>75</v>
      </c>
    </row>
    <row r="18" spans="1:19" s="13" customFormat="1" ht="52.5" customHeight="1" thickBot="1">
      <c r="A18" s="11">
        <v>6</v>
      </c>
      <c r="B18" s="49" t="s">
        <v>10</v>
      </c>
      <c r="C18" s="7">
        <v>1989</v>
      </c>
      <c r="D18" s="7">
        <v>4255.9</v>
      </c>
      <c r="E18" s="7">
        <v>4255.9</v>
      </c>
      <c r="F18" s="89">
        <f>F4/E56*E18</f>
        <v>243549.6174169131</v>
      </c>
      <c r="G18" s="89">
        <f>(G4/H4*E18)</f>
        <v>306889.62343375</v>
      </c>
      <c r="H18" s="89">
        <v>25626.88</v>
      </c>
      <c r="I18" s="89">
        <f>26192.71+12195.33</f>
        <v>38388.04</v>
      </c>
      <c r="J18" s="90">
        <v>0</v>
      </c>
      <c r="K18" s="87">
        <v>10541.86</v>
      </c>
      <c r="L18" s="88">
        <v>0</v>
      </c>
      <c r="M18" s="60">
        <f>M4/E56*E18</f>
        <v>346548.326529286</v>
      </c>
      <c r="N18" s="3">
        <f t="shared" si="1"/>
        <v>188799.528293155</v>
      </c>
      <c r="O18" s="3">
        <f t="shared" si="2"/>
        <v>971544.3473799491</v>
      </c>
      <c r="P18" s="6">
        <v>999055.58</v>
      </c>
      <c r="Q18" s="6">
        <v>959632.01</v>
      </c>
      <c r="R18" s="2">
        <f t="shared" si="0"/>
        <v>-11912.337379949051</v>
      </c>
      <c r="S18" s="4" t="s">
        <v>86</v>
      </c>
    </row>
    <row r="19" spans="1:19" s="13" customFormat="1" ht="51.75" customHeight="1" thickBot="1">
      <c r="A19" s="11">
        <v>7</v>
      </c>
      <c r="B19" s="49" t="s">
        <v>11</v>
      </c>
      <c r="C19" s="7">
        <v>1988</v>
      </c>
      <c r="D19" s="7">
        <v>4245.1</v>
      </c>
      <c r="E19" s="7">
        <v>4245.1</v>
      </c>
      <c r="F19" s="89">
        <f>F4/E56*E19</f>
        <v>242931.57285099226</v>
      </c>
      <c r="G19" s="89">
        <f>(G4/H4*E19)</f>
        <v>306110.8438728853</v>
      </c>
      <c r="H19" s="89">
        <v>19182.34</v>
      </c>
      <c r="I19" s="89">
        <f>47930.52+25603.16</f>
        <v>73533.68</v>
      </c>
      <c r="J19" s="90">
        <v>0</v>
      </c>
      <c r="K19" s="87">
        <v>10541.86</v>
      </c>
      <c r="L19" s="88">
        <v>0</v>
      </c>
      <c r="M19" s="60">
        <f>M4/E56*E19</f>
        <v>345668.90691733174</v>
      </c>
      <c r="N19" s="3">
        <f t="shared" si="1"/>
        <v>188320.42048856232</v>
      </c>
      <c r="O19" s="3">
        <f t="shared" si="2"/>
        <v>997969.2036412092</v>
      </c>
      <c r="P19" s="6">
        <v>993272.48</v>
      </c>
      <c r="Q19" s="6">
        <v>916168.27</v>
      </c>
      <c r="R19" s="2">
        <f t="shared" si="0"/>
        <v>-81800.93364120915</v>
      </c>
      <c r="S19" s="4" t="s">
        <v>85</v>
      </c>
    </row>
    <row r="20" spans="1:19" s="13" customFormat="1" ht="51.75" customHeight="1" thickBot="1">
      <c r="A20" s="11">
        <v>8</v>
      </c>
      <c r="B20" s="49" t="s">
        <v>5</v>
      </c>
      <c r="C20" s="7">
        <v>1978</v>
      </c>
      <c r="D20" s="7">
        <v>772.1</v>
      </c>
      <c r="E20" s="7">
        <v>772.1</v>
      </c>
      <c r="F20" s="89">
        <f>F4/E56*E20</f>
        <v>44184.46382847309</v>
      </c>
      <c r="G20" s="89">
        <f>(G4/H4*E20)</f>
        <v>55675.52767997331</v>
      </c>
      <c r="H20" s="89">
        <v>6619.1</v>
      </c>
      <c r="I20" s="89">
        <f>3000+3860.44</f>
        <v>6860.4400000000005</v>
      </c>
      <c r="J20" s="90">
        <v>0</v>
      </c>
      <c r="K20" s="87">
        <v>2593.57</v>
      </c>
      <c r="L20" s="88">
        <v>0</v>
      </c>
      <c r="M20" s="60">
        <f>M4/E56*E20</f>
        <v>62870.35948054741</v>
      </c>
      <c r="N20" s="3">
        <f t="shared" si="1"/>
        <v>34251.77184500223</v>
      </c>
      <c r="O20" s="3">
        <f t="shared" si="2"/>
        <v>178803.46098899381</v>
      </c>
      <c r="P20" s="6">
        <v>162966.43</v>
      </c>
      <c r="Q20" s="6">
        <v>159088.46</v>
      </c>
      <c r="R20" s="2">
        <f t="shared" si="0"/>
        <v>-19715.000988993823</v>
      </c>
      <c r="S20" s="12" t="s">
        <v>49</v>
      </c>
    </row>
    <row r="21" spans="1:19" s="13" customFormat="1" ht="51.75" customHeight="1" thickBot="1">
      <c r="A21" s="11">
        <v>9</v>
      </c>
      <c r="B21" s="49" t="s">
        <v>12</v>
      </c>
      <c r="C21" s="7">
        <v>1979</v>
      </c>
      <c r="D21" s="7">
        <v>779.4</v>
      </c>
      <c r="E21" s="7">
        <v>779.4</v>
      </c>
      <c r="F21" s="89">
        <f>F4/E56*E21</f>
        <v>44602.21617395664</v>
      </c>
      <c r="G21" s="89">
        <f>(G4/H4*E21)</f>
        <v>56201.92497574303</v>
      </c>
      <c r="H21" s="89">
        <v>4839.72</v>
      </c>
      <c r="I21" s="89">
        <f>3477.07+2252.88</f>
        <v>5729.950000000001</v>
      </c>
      <c r="J21" s="90">
        <v>0</v>
      </c>
      <c r="K21" s="87">
        <v>2593.57</v>
      </c>
      <c r="L21" s="88">
        <v>0</v>
      </c>
      <c r="M21" s="60">
        <f>M4/E56*E21</f>
        <v>63464.78199603504</v>
      </c>
      <c r="N21" s="3">
        <f t="shared" si="1"/>
        <v>34575.613231439886</v>
      </c>
      <c r="O21" s="3">
        <f t="shared" si="2"/>
        <v>177432.16314573472</v>
      </c>
      <c r="P21" s="6">
        <v>163617.59</v>
      </c>
      <c r="Q21" s="6">
        <v>151502.96</v>
      </c>
      <c r="R21" s="2">
        <f t="shared" si="0"/>
        <v>-25929.203145734733</v>
      </c>
      <c r="S21" s="4" t="s">
        <v>97</v>
      </c>
    </row>
    <row r="22" spans="1:19" s="13" customFormat="1" ht="51.75" customHeight="1" thickBot="1">
      <c r="A22" s="11">
        <v>10</v>
      </c>
      <c r="B22" s="49" t="s">
        <v>6</v>
      </c>
      <c r="C22" s="7">
        <v>1991</v>
      </c>
      <c r="D22" s="7">
        <v>5272.8</v>
      </c>
      <c r="E22" s="7">
        <v>5272.8</v>
      </c>
      <c r="F22" s="89">
        <f>F4/E56*E22</f>
        <v>301743.09140625945</v>
      </c>
      <c r="G22" s="89">
        <f>(G4/H4*E22)</f>
        <v>380217.4878266588</v>
      </c>
      <c r="H22" s="89">
        <v>17111.44</v>
      </c>
      <c r="I22" s="89">
        <f>16344.62+17956.78</f>
        <v>34301.4</v>
      </c>
      <c r="J22" s="90">
        <v>0</v>
      </c>
      <c r="K22" s="87">
        <v>11049.26</v>
      </c>
      <c r="L22" s="88">
        <v>0</v>
      </c>
      <c r="M22" s="60">
        <f>M4/E56*E22</f>
        <v>429352.19721413084</v>
      </c>
      <c r="N22" s="3">
        <f t="shared" si="1"/>
        <v>233911.07704225846</v>
      </c>
      <c r="O22" s="3">
        <f t="shared" si="2"/>
        <v>1173774.8764470492</v>
      </c>
      <c r="P22" s="6">
        <v>1238517.96</v>
      </c>
      <c r="Q22" s="6">
        <v>1196779.08</v>
      </c>
      <c r="R22" s="2">
        <f t="shared" si="0"/>
        <v>23004.203552950872</v>
      </c>
      <c r="S22" s="4" t="s">
        <v>98</v>
      </c>
    </row>
    <row r="23" spans="1:19" s="13" customFormat="1" ht="51.75" customHeight="1" thickBot="1">
      <c r="A23" s="11">
        <v>11</v>
      </c>
      <c r="B23" s="49" t="s">
        <v>41</v>
      </c>
      <c r="C23" s="7">
        <v>1984</v>
      </c>
      <c r="D23" s="7">
        <v>3575.2</v>
      </c>
      <c r="E23" s="7">
        <v>3575.2</v>
      </c>
      <c r="F23" s="89">
        <f>F4/E56*E23</f>
        <v>204595.64185928894</v>
      </c>
      <c r="G23" s="89">
        <f>(G4/H4*E23)</f>
        <v>257804.87833368807</v>
      </c>
      <c r="H23" s="89">
        <v>37597.23</v>
      </c>
      <c r="I23" s="89">
        <f>3841+9666.33</f>
        <v>13507.33</v>
      </c>
      <c r="J23" s="90">
        <v>0</v>
      </c>
      <c r="K23" s="87">
        <v>0</v>
      </c>
      <c r="L23" s="88">
        <v>0</v>
      </c>
      <c r="M23" s="60">
        <f>M4/E56*E23</f>
        <v>291120.46265361103</v>
      </c>
      <c r="N23" s="3">
        <f t="shared" si="1"/>
        <v>158602.42805368727</v>
      </c>
      <c r="O23" s="3">
        <f t="shared" si="2"/>
        <v>804625.5428465881</v>
      </c>
      <c r="P23" s="6">
        <v>862892.3</v>
      </c>
      <c r="Q23" s="6">
        <v>704641.02</v>
      </c>
      <c r="R23" s="2">
        <f t="shared" si="0"/>
        <v>-99984.52284658805</v>
      </c>
      <c r="S23" s="4" t="s">
        <v>102</v>
      </c>
    </row>
    <row r="24" spans="1:19" s="13" customFormat="1" ht="51.75" customHeight="1" thickBot="1">
      <c r="A24" s="11">
        <v>12</v>
      </c>
      <c r="B24" s="49" t="s">
        <v>112</v>
      </c>
      <c r="C24" s="7">
        <v>1978</v>
      </c>
      <c r="D24" s="7">
        <v>271.7</v>
      </c>
      <c r="E24" s="7">
        <v>271.7</v>
      </c>
      <c r="F24" s="89">
        <f>F4/E56*E24</f>
        <v>15548.398940805773</v>
      </c>
      <c r="G24" s="89">
        <f>(G4/H4*E24)</f>
        <v>19592.074693237595</v>
      </c>
      <c r="H24" s="91">
        <v>1267.6</v>
      </c>
      <c r="I24" s="89">
        <f>2634+2527.66</f>
        <v>5161.66</v>
      </c>
      <c r="J24" s="90">
        <v>0</v>
      </c>
      <c r="K24" s="87">
        <v>1353.28</v>
      </c>
      <c r="L24" s="88">
        <v>0</v>
      </c>
      <c r="M24" s="60">
        <f>M4/E56*E24</f>
        <v>22123.917459998356</v>
      </c>
      <c r="N24" s="3">
        <f t="shared" si="1"/>
        <v>12053.110232207104</v>
      </c>
      <c r="O24" s="3">
        <f t="shared" si="2"/>
        <v>65046.93109404172</v>
      </c>
      <c r="P24" s="6">
        <v>61684.12</v>
      </c>
      <c r="Q24" s="6">
        <v>58377.92</v>
      </c>
      <c r="R24" s="2">
        <f t="shared" si="0"/>
        <v>-6669.011094041722</v>
      </c>
      <c r="S24" s="12" t="s">
        <v>51</v>
      </c>
    </row>
    <row r="25" spans="1:19" s="13" customFormat="1" ht="51.75" customHeight="1" thickBot="1">
      <c r="A25" s="11">
        <v>13</v>
      </c>
      <c r="B25" s="49" t="s">
        <v>113</v>
      </c>
      <c r="C25" s="7">
        <v>1977</v>
      </c>
      <c r="D25" s="14">
        <v>271</v>
      </c>
      <c r="E25" s="14">
        <v>271</v>
      </c>
      <c r="F25" s="89">
        <f>F4/E56*E25</f>
        <v>15508.34049671831</v>
      </c>
      <c r="G25" s="89">
        <f>(G4/H4*E25)</f>
        <v>19541.59824021858</v>
      </c>
      <c r="H25" s="89">
        <v>684.18</v>
      </c>
      <c r="I25" s="89">
        <f>721.79</f>
        <v>721.79</v>
      </c>
      <c r="J25" s="90">
        <v>0</v>
      </c>
      <c r="K25" s="87">
        <v>1353.28</v>
      </c>
      <c r="L25" s="88">
        <v>0</v>
      </c>
      <c r="M25" s="60">
        <f>M4/E56*E25</f>
        <v>22066.918040705023</v>
      </c>
      <c r="N25" s="3">
        <f t="shared" si="1"/>
        <v>12022.056948576095</v>
      </c>
      <c r="O25" s="3">
        <f t="shared" si="2"/>
        <v>59876.106777641915</v>
      </c>
      <c r="P25" s="6">
        <v>62630.9</v>
      </c>
      <c r="Q25" s="6">
        <v>55524.04</v>
      </c>
      <c r="R25" s="2">
        <f t="shared" si="0"/>
        <v>-4352.066777641914</v>
      </c>
      <c r="S25" s="12"/>
    </row>
    <row r="26" spans="1:19" s="13" customFormat="1" ht="51.75" customHeight="1" thickBot="1">
      <c r="A26" s="11">
        <v>14</v>
      </c>
      <c r="B26" s="49" t="s">
        <v>39</v>
      </c>
      <c r="C26" s="7">
        <v>1986</v>
      </c>
      <c r="D26" s="7">
        <v>3215.3</v>
      </c>
      <c r="E26" s="7">
        <v>3215.3</v>
      </c>
      <c r="F26" s="89">
        <f>F4/E56*E26</f>
        <v>183999.8789634627</v>
      </c>
      <c r="G26" s="89">
        <f>(G4/H4*E26)</f>
        <v>231852.77056005463</v>
      </c>
      <c r="H26" s="89">
        <v>27070.74</v>
      </c>
      <c r="I26" s="89">
        <f>5936.63+9063.75</f>
        <v>15000.380000000001</v>
      </c>
      <c r="J26" s="90">
        <v>0</v>
      </c>
      <c r="K26" s="87">
        <v>7906.4</v>
      </c>
      <c r="L26" s="88">
        <v>0</v>
      </c>
      <c r="M26" s="60">
        <f>M4/E56*E26</f>
        <v>261814.61836265263</v>
      </c>
      <c r="N26" s="3">
        <f t="shared" si="1"/>
        <v>142636.60408397313</v>
      </c>
      <c r="O26" s="3">
        <f t="shared" si="2"/>
        <v>727644.78788617</v>
      </c>
      <c r="P26" s="6">
        <v>751239.12</v>
      </c>
      <c r="Q26" s="6">
        <v>747351.35</v>
      </c>
      <c r="R26" s="2">
        <f t="shared" si="0"/>
        <v>19706.562113830005</v>
      </c>
      <c r="S26" s="4" t="s">
        <v>79</v>
      </c>
    </row>
    <row r="27" spans="1:19" s="13" customFormat="1" ht="51.75" customHeight="1" thickBot="1">
      <c r="A27" s="11">
        <v>15</v>
      </c>
      <c r="B27" s="49" t="s">
        <v>7</v>
      </c>
      <c r="C27" s="7">
        <v>1977</v>
      </c>
      <c r="D27" s="7">
        <v>841.9</v>
      </c>
      <c r="E27" s="7">
        <v>841.9</v>
      </c>
      <c r="F27" s="89">
        <f>F4/E56*E27</f>
        <v>48178.862967480236</v>
      </c>
      <c r="G27" s="89">
        <f>(G4/H4*E27)</f>
        <v>60708.751138155065</v>
      </c>
      <c r="H27" s="89">
        <v>5989.1</v>
      </c>
      <c r="I27" s="89">
        <f>135+2242.35</f>
        <v>2377.35</v>
      </c>
      <c r="J27" s="90">
        <v>0</v>
      </c>
      <c r="K27" s="87">
        <v>2593.57</v>
      </c>
      <c r="L27" s="88">
        <v>0</v>
      </c>
      <c r="M27" s="60">
        <f>M4/E56*E27</f>
        <v>68554.01586151129</v>
      </c>
      <c r="N27" s="3">
        <f t="shared" si="1"/>
        <v>37348.22784135135</v>
      </c>
      <c r="O27" s="3">
        <f t="shared" si="2"/>
        <v>188401.6499671466</v>
      </c>
      <c r="P27" s="6">
        <v>196350.67</v>
      </c>
      <c r="Q27" s="6">
        <v>193761.74</v>
      </c>
      <c r="R27" s="2">
        <f t="shared" si="0"/>
        <v>5360.09003285339</v>
      </c>
      <c r="S27" s="12" t="s">
        <v>66</v>
      </c>
    </row>
    <row r="28" spans="1:19" s="13" customFormat="1" ht="51.75" customHeight="1" thickBot="1">
      <c r="A28" s="11">
        <v>16</v>
      </c>
      <c r="B28" s="49" t="s">
        <v>40</v>
      </c>
      <c r="C28" s="7">
        <v>1966</v>
      </c>
      <c r="D28" s="7">
        <v>180.9</v>
      </c>
      <c r="E28" s="7">
        <v>180.9</v>
      </c>
      <c r="F28" s="89">
        <f>F4/E56*E28</f>
        <v>10352.246479174695</v>
      </c>
      <c r="G28" s="89">
        <v>0</v>
      </c>
      <c r="H28" s="89">
        <v>1547.56</v>
      </c>
      <c r="I28" s="89">
        <f>481.82</f>
        <v>481.82</v>
      </c>
      <c r="J28" s="90">
        <v>0</v>
      </c>
      <c r="K28" s="87">
        <v>756.75</v>
      </c>
      <c r="L28" s="88">
        <v>0</v>
      </c>
      <c r="M28" s="60">
        <f>M4/E56*E28</f>
        <v>14730.27850023446</v>
      </c>
      <c r="N28" s="3">
        <f t="shared" si="1"/>
        <v>8025.055726927733</v>
      </c>
      <c r="O28" s="3">
        <f t="shared" si="2"/>
        <v>27868.654979409155</v>
      </c>
      <c r="P28" s="6">
        <v>41196.36</v>
      </c>
      <c r="Q28" s="6">
        <v>40269.49</v>
      </c>
      <c r="R28" s="2">
        <f t="shared" si="0"/>
        <v>12400.835020590843</v>
      </c>
      <c r="S28" s="12" t="s">
        <v>50</v>
      </c>
    </row>
    <row r="29" spans="1:19" s="13" customFormat="1" ht="51.75" customHeight="1" thickBot="1">
      <c r="A29" s="11">
        <v>17</v>
      </c>
      <c r="B29" s="49" t="s">
        <v>13</v>
      </c>
      <c r="C29" s="7">
        <v>1974</v>
      </c>
      <c r="D29" s="7">
        <v>715.6</v>
      </c>
      <c r="E29" s="7">
        <v>715.6</v>
      </c>
      <c r="F29" s="89">
        <f>F4/E56*E29</f>
        <v>40951.17512712776</v>
      </c>
      <c r="G29" s="89">
        <f>(G4/H4*E29)</f>
        <v>51601.35682915283</v>
      </c>
      <c r="H29" s="89">
        <v>12985.42</v>
      </c>
      <c r="I29" s="89">
        <f>1905.96</f>
        <v>1905.96</v>
      </c>
      <c r="J29" s="90">
        <v>0</v>
      </c>
      <c r="K29" s="87">
        <v>2663.93</v>
      </c>
      <c r="L29" s="88">
        <v>0</v>
      </c>
      <c r="M29" s="60">
        <f>M4/E56*E29</f>
        <v>58269.69206615688</v>
      </c>
      <c r="N29" s="3">
        <f t="shared" si="1"/>
        <v>31745.328237642265</v>
      </c>
      <c r="O29" s="3">
        <f t="shared" si="2"/>
        <v>168377.53402243747</v>
      </c>
      <c r="P29" s="6">
        <v>149738.51</v>
      </c>
      <c r="Q29" s="6">
        <v>142175.76</v>
      </c>
      <c r="R29" s="2">
        <f t="shared" si="0"/>
        <v>-26201.774022437457</v>
      </c>
      <c r="S29" s="12" t="s">
        <v>67</v>
      </c>
    </row>
    <row r="30" spans="1:19" s="13" customFormat="1" ht="51.75" customHeight="1" thickBot="1">
      <c r="A30" s="11">
        <v>18</v>
      </c>
      <c r="B30" s="49" t="s">
        <v>14</v>
      </c>
      <c r="C30" s="7">
        <v>1972</v>
      </c>
      <c r="D30" s="7">
        <v>714.9</v>
      </c>
      <c r="E30" s="7">
        <v>714.9</v>
      </c>
      <c r="F30" s="89">
        <f>F4/E56*E30</f>
        <v>40911.116683040294</v>
      </c>
      <c r="G30" s="89">
        <f>(G4/H4*E30)</f>
        <v>51550.88037613381</v>
      </c>
      <c r="H30" s="89">
        <v>12148.54</v>
      </c>
      <c r="I30" s="89">
        <f>1904.09</f>
        <v>1904.09</v>
      </c>
      <c r="J30" s="90">
        <v>0</v>
      </c>
      <c r="K30" s="87">
        <v>2685.2</v>
      </c>
      <c r="L30" s="88">
        <v>0</v>
      </c>
      <c r="M30" s="60">
        <f>M4/E56*E30</f>
        <v>58212.69264686354</v>
      </c>
      <c r="N30" s="3">
        <f t="shared" si="1"/>
        <v>31714.274954011256</v>
      </c>
      <c r="O30" s="3">
        <f t="shared" si="2"/>
        <v>167412.51970603765</v>
      </c>
      <c r="P30" s="6">
        <v>149613.49</v>
      </c>
      <c r="Q30" s="6">
        <v>138186.19</v>
      </c>
      <c r="R30" s="2">
        <f t="shared" si="0"/>
        <v>-29226.32970603765</v>
      </c>
      <c r="S30" s="12" t="s">
        <v>68</v>
      </c>
    </row>
    <row r="31" spans="1:19" s="13" customFormat="1" ht="51.75" customHeight="1" thickBot="1">
      <c r="A31" s="11">
        <v>19</v>
      </c>
      <c r="B31" s="49" t="s">
        <v>15</v>
      </c>
      <c r="C31" s="7">
        <v>1971</v>
      </c>
      <c r="D31" s="7">
        <v>715.2</v>
      </c>
      <c r="E31" s="7">
        <v>715.2</v>
      </c>
      <c r="F31" s="89">
        <f>F4/E56*E31</f>
        <v>40928.284587649214</v>
      </c>
      <c r="G31" s="89">
        <f>(G4/H4*E31)</f>
        <v>51572.513141713396</v>
      </c>
      <c r="H31" s="89">
        <v>3778.78</v>
      </c>
      <c r="I31" s="89">
        <f>46.82+1904.89</f>
        <v>1951.71</v>
      </c>
      <c r="J31" s="90">
        <v>0</v>
      </c>
      <c r="K31" s="87">
        <v>2663.84</v>
      </c>
      <c r="L31" s="88">
        <v>0</v>
      </c>
      <c r="M31" s="60">
        <f>M4/E56*E31</f>
        <v>58237.12096941784</v>
      </c>
      <c r="N31" s="3">
        <f t="shared" si="1"/>
        <v>31727.583504138835</v>
      </c>
      <c r="O31" s="3">
        <f t="shared" si="2"/>
        <v>159132.24869878046</v>
      </c>
      <c r="P31" s="6">
        <v>149427.6</v>
      </c>
      <c r="Q31" s="6">
        <v>131843.58</v>
      </c>
      <c r="R31" s="2">
        <f t="shared" si="0"/>
        <v>-27288.66869878047</v>
      </c>
      <c r="S31" s="12" t="s">
        <v>52</v>
      </c>
    </row>
    <row r="32" spans="1:19" s="13" customFormat="1" ht="51.75" customHeight="1" thickBot="1">
      <c r="A32" s="11">
        <v>20</v>
      </c>
      <c r="B32" s="49" t="s">
        <v>16</v>
      </c>
      <c r="C32" s="7">
        <v>1981</v>
      </c>
      <c r="D32" s="7">
        <v>875.2</v>
      </c>
      <c r="E32" s="7">
        <v>875.2</v>
      </c>
      <c r="F32" s="89">
        <f>F4/E56*E32</f>
        <v>50084.500379069614</v>
      </c>
      <c r="G32" s="89">
        <f>(G4/H4*E32)</f>
        <v>63109.9881174882</v>
      </c>
      <c r="H32" s="89">
        <v>14008.74</v>
      </c>
      <c r="I32" s="89">
        <f>2111.96+2331.04</f>
        <v>4443</v>
      </c>
      <c r="J32" s="90">
        <v>0</v>
      </c>
      <c r="K32" s="87">
        <v>2379.93</v>
      </c>
      <c r="L32" s="88">
        <v>0</v>
      </c>
      <c r="M32" s="60">
        <f>M4/E56*E32</f>
        <v>71265.55966503704</v>
      </c>
      <c r="N32" s="3">
        <f t="shared" si="1"/>
        <v>38825.47690551218</v>
      </c>
      <c r="O32" s="3">
        <f t="shared" si="2"/>
        <v>205291.71816159482</v>
      </c>
      <c r="P32" s="6">
        <v>202733.08</v>
      </c>
      <c r="Q32" s="6">
        <v>163129.63</v>
      </c>
      <c r="R32" s="2">
        <f t="shared" si="0"/>
        <v>-42162.08816159482</v>
      </c>
      <c r="S32" s="4" t="s">
        <v>91</v>
      </c>
    </row>
    <row r="33" spans="1:19" s="13" customFormat="1" ht="51.75" customHeight="1" thickBot="1">
      <c r="A33" s="11">
        <v>21</v>
      </c>
      <c r="B33" s="49" t="s">
        <v>17</v>
      </c>
      <c r="C33" s="7">
        <v>1981</v>
      </c>
      <c r="D33" s="7">
        <v>875.4</v>
      </c>
      <c r="E33" s="7">
        <v>875.4</v>
      </c>
      <c r="F33" s="89">
        <f>F4/E56*E33</f>
        <v>50095.94564880888</v>
      </c>
      <c r="G33" s="89">
        <f>(G4/H4*E33)</f>
        <v>63124.409961207915</v>
      </c>
      <c r="H33" s="89">
        <v>11000.42</v>
      </c>
      <c r="I33" s="89">
        <f>2331.57</f>
        <v>2331.57</v>
      </c>
      <c r="J33" s="90">
        <v>0</v>
      </c>
      <c r="K33" s="87">
        <v>2379.93</v>
      </c>
      <c r="L33" s="88">
        <v>0</v>
      </c>
      <c r="M33" s="60">
        <f>M4/E56*E33</f>
        <v>71281.84521340656</v>
      </c>
      <c r="N33" s="3">
        <f t="shared" si="1"/>
        <v>38834.34927226389</v>
      </c>
      <c r="O33" s="3">
        <f t="shared" si="2"/>
        <v>200214.12082342335</v>
      </c>
      <c r="P33" s="6">
        <v>203561.92</v>
      </c>
      <c r="Q33" s="6">
        <v>202421.72</v>
      </c>
      <c r="R33" s="2">
        <f t="shared" si="0"/>
        <v>2207.599176576652</v>
      </c>
      <c r="S33" s="4" t="s">
        <v>90</v>
      </c>
    </row>
    <row r="34" spans="1:19" s="13" customFormat="1" ht="51.75" customHeight="1" thickBot="1">
      <c r="A34" s="11">
        <v>22</v>
      </c>
      <c r="B34" s="49" t="s">
        <v>18</v>
      </c>
      <c r="C34" s="7">
        <v>1986</v>
      </c>
      <c r="D34" s="7">
        <v>3099.3</v>
      </c>
      <c r="E34" s="7">
        <v>3099.3</v>
      </c>
      <c r="F34" s="89">
        <f>F4/E56*E34</f>
        <v>177361.62251468288</v>
      </c>
      <c r="G34" s="89">
        <f>(G4/H4*E34)</f>
        <v>223488.1012026179</v>
      </c>
      <c r="H34" s="89">
        <v>13506.66</v>
      </c>
      <c r="I34" s="89">
        <f>3475.12+8422.79</f>
        <v>11897.91</v>
      </c>
      <c r="J34" s="90">
        <v>0</v>
      </c>
      <c r="K34" s="87">
        <v>10531.1</v>
      </c>
      <c r="L34" s="88">
        <v>0</v>
      </c>
      <c r="M34" s="60">
        <f>M4/E56*E34</f>
        <v>252369.00030832872</v>
      </c>
      <c r="N34" s="3">
        <f t="shared" si="1"/>
        <v>137490.63136797748</v>
      </c>
      <c r="O34" s="3">
        <f t="shared" si="2"/>
        <v>689154.3940256294</v>
      </c>
      <c r="P34" s="6">
        <v>731838.77</v>
      </c>
      <c r="Q34" s="6">
        <v>706374.35</v>
      </c>
      <c r="R34" s="2">
        <f t="shared" si="0"/>
        <v>17219.95597437059</v>
      </c>
      <c r="S34" s="4" t="s">
        <v>100</v>
      </c>
    </row>
    <row r="35" spans="1:19" s="15" customFormat="1" ht="51.75" customHeight="1" thickBot="1">
      <c r="A35" s="11">
        <v>23</v>
      </c>
      <c r="B35" s="49" t="s">
        <v>19</v>
      </c>
      <c r="C35" s="7">
        <v>1981</v>
      </c>
      <c r="D35" s="7">
        <v>878.4</v>
      </c>
      <c r="E35" s="7">
        <v>878.4</v>
      </c>
      <c r="F35" s="89">
        <f>F4/E56*E35</f>
        <v>50267.62469489802</v>
      </c>
      <c r="G35" s="89">
        <f>(G4/H4*E35)</f>
        <v>63340.737617003695</v>
      </c>
      <c r="H35" s="89">
        <v>15063.08</v>
      </c>
      <c r="I35" s="89">
        <f>4439.99+2507.56</f>
        <v>6947.549999999999</v>
      </c>
      <c r="J35" s="90">
        <v>312014.93</v>
      </c>
      <c r="K35" s="87">
        <v>2379.93</v>
      </c>
      <c r="L35" s="88">
        <v>0</v>
      </c>
      <c r="M35" s="60">
        <f>M4/E56*E35</f>
        <v>71526.12843894941</v>
      </c>
      <c r="N35" s="3">
        <f t="shared" si="1"/>
        <v>38967.43477353964</v>
      </c>
      <c r="O35" s="3">
        <f t="shared" si="2"/>
        <v>521539.9807508511</v>
      </c>
      <c r="P35" s="6">
        <v>203445.92</v>
      </c>
      <c r="Q35" s="6">
        <v>195931.25</v>
      </c>
      <c r="R35" s="2">
        <f t="shared" si="0"/>
        <v>-325608.7307508511</v>
      </c>
      <c r="S35" s="4" t="s">
        <v>92</v>
      </c>
    </row>
    <row r="36" spans="1:19" s="15" customFormat="1" ht="51.75" customHeight="1" thickBot="1">
      <c r="A36" s="11">
        <v>24</v>
      </c>
      <c r="B36" s="49" t="s">
        <v>23</v>
      </c>
      <c r="C36" s="7">
        <v>1981</v>
      </c>
      <c r="D36" s="7">
        <v>858.9</v>
      </c>
      <c r="E36" s="7">
        <v>858.9</v>
      </c>
      <c r="F36" s="89">
        <f>F4/E56*E36</f>
        <v>49151.710895318654</v>
      </c>
      <c r="G36" s="89">
        <f>(G4/H4*E36)</f>
        <v>61934.60785433114</v>
      </c>
      <c r="H36" s="89">
        <v>7827.82</v>
      </c>
      <c r="I36" s="89">
        <f>986.35+4757.63</f>
        <v>5743.9800000000005</v>
      </c>
      <c r="J36" s="90">
        <v>0</v>
      </c>
      <c r="K36" s="87">
        <v>2379.93</v>
      </c>
      <c r="L36" s="88">
        <v>0</v>
      </c>
      <c r="M36" s="60">
        <f>M4/E56*E36</f>
        <v>69938.28747292083</v>
      </c>
      <c r="N36" s="3">
        <f t="shared" si="1"/>
        <v>38102.379015247265</v>
      </c>
      <c r="O36" s="3">
        <f t="shared" si="2"/>
        <v>196976.33622257062</v>
      </c>
      <c r="P36" s="6">
        <v>199472.41</v>
      </c>
      <c r="Q36" s="6">
        <v>188774.36</v>
      </c>
      <c r="R36" s="2">
        <f t="shared" si="0"/>
        <v>-8201.976222570636</v>
      </c>
      <c r="S36" s="4" t="s">
        <v>101</v>
      </c>
    </row>
    <row r="37" spans="1:19" s="13" customFormat="1" ht="51.75" customHeight="1" thickBot="1">
      <c r="A37" s="11">
        <v>25</v>
      </c>
      <c r="B37" s="49" t="s">
        <v>20</v>
      </c>
      <c r="C37" s="7">
        <v>1983</v>
      </c>
      <c r="D37" s="7">
        <v>3016.4</v>
      </c>
      <c r="E37" s="7">
        <v>3016.4</v>
      </c>
      <c r="F37" s="89">
        <f>F4/E56*E37</f>
        <v>172617.55820775317</v>
      </c>
      <c r="G37" s="89">
        <f>(G4/H4*E37)</f>
        <v>217510.24698079456</v>
      </c>
      <c r="H37" s="89">
        <v>10145.06</v>
      </c>
      <c r="I37" s="89">
        <f>5516.24+8534</f>
        <v>14050.24</v>
      </c>
      <c r="J37" s="90">
        <v>0</v>
      </c>
      <c r="K37" s="87">
        <v>8221.51</v>
      </c>
      <c r="L37" s="88">
        <v>0</v>
      </c>
      <c r="M37" s="60">
        <f>M4/E56*E37</f>
        <v>245618.64050916102</v>
      </c>
      <c r="N37" s="3">
        <f t="shared" si="1"/>
        <v>133813.0353493909</v>
      </c>
      <c r="O37" s="3">
        <f t="shared" si="2"/>
        <v>668163.2556977087</v>
      </c>
      <c r="P37" s="6">
        <v>705053.13</v>
      </c>
      <c r="Q37" s="6">
        <v>684973.29</v>
      </c>
      <c r="R37" s="2">
        <f t="shared" si="0"/>
        <v>16810.034302291344</v>
      </c>
      <c r="S37" s="12" t="s">
        <v>111</v>
      </c>
    </row>
    <row r="38" spans="1:19" s="13" customFormat="1" ht="51.75" customHeight="1" thickBot="1">
      <c r="A38" s="11">
        <v>26</v>
      </c>
      <c r="B38" s="49" t="s">
        <v>21</v>
      </c>
      <c r="C38" s="7">
        <v>1982</v>
      </c>
      <c r="D38" s="7">
        <v>878.3</v>
      </c>
      <c r="E38" s="7">
        <v>878.3</v>
      </c>
      <c r="F38" s="89">
        <f>F4/E56*E38</f>
        <v>50261.90206002838</v>
      </c>
      <c r="G38" s="89">
        <f>(G4/H4*E38)</f>
        <v>63333.52669514383</v>
      </c>
      <c r="H38" s="89">
        <v>9714</v>
      </c>
      <c r="I38" s="89">
        <f>5976.19+2339.3</f>
        <v>8315.49</v>
      </c>
      <c r="J38" s="90">
        <v>0</v>
      </c>
      <c r="K38" s="87">
        <v>2395.95</v>
      </c>
      <c r="L38" s="88">
        <v>0</v>
      </c>
      <c r="M38" s="60">
        <f>M4/E56*E38</f>
        <v>71517.98566476465</v>
      </c>
      <c r="N38" s="3">
        <f t="shared" si="1"/>
        <v>38962.99859016378</v>
      </c>
      <c r="O38" s="3">
        <f t="shared" si="2"/>
        <v>205538.85441993686</v>
      </c>
      <c r="P38" s="6">
        <v>202974.13</v>
      </c>
      <c r="Q38" s="6">
        <v>199647.5</v>
      </c>
      <c r="R38" s="2">
        <f t="shared" si="0"/>
        <v>-5891.3544199368625</v>
      </c>
      <c r="S38" s="4" t="s">
        <v>93</v>
      </c>
    </row>
    <row r="39" spans="1:19" s="13" customFormat="1" ht="51.75" customHeight="1" thickBot="1">
      <c r="A39" s="11">
        <v>27</v>
      </c>
      <c r="B39" s="49" t="s">
        <v>22</v>
      </c>
      <c r="C39" s="7">
        <v>1992</v>
      </c>
      <c r="D39" s="7">
        <v>2553.3</v>
      </c>
      <c r="E39" s="7">
        <v>2553.3</v>
      </c>
      <c r="F39" s="89">
        <f>F4/E56*E39</f>
        <v>146116.03612646076</v>
      </c>
      <c r="G39" s="89">
        <f>(G4/H4*E39)</f>
        <v>184116.46784778638</v>
      </c>
      <c r="H39" s="89">
        <v>18483.38</v>
      </c>
      <c r="I39" s="89">
        <f>8119.59+6800.56</f>
        <v>14920.150000000001</v>
      </c>
      <c r="J39" s="90">
        <v>0</v>
      </c>
      <c r="K39" s="87">
        <v>11152.15</v>
      </c>
      <c r="L39" s="88">
        <v>14500</v>
      </c>
      <c r="M39" s="60">
        <f>M4/E56*E39</f>
        <v>207909.4532595282</v>
      </c>
      <c r="N39" s="3">
        <f t="shared" si="1"/>
        <v>113269.07013579096</v>
      </c>
      <c r="O39" s="3">
        <f t="shared" si="2"/>
        <v>597197.6372337753</v>
      </c>
      <c r="P39" s="6">
        <v>598100.44</v>
      </c>
      <c r="Q39" s="6">
        <v>531849.38</v>
      </c>
      <c r="R39" s="2">
        <f t="shared" si="0"/>
        <v>-65348.25723377534</v>
      </c>
      <c r="S39" s="12" t="s">
        <v>53</v>
      </c>
    </row>
    <row r="40" spans="1:19" s="13" customFormat="1" ht="51.75" customHeight="1" thickBot="1">
      <c r="A40" s="11">
        <v>28</v>
      </c>
      <c r="B40" s="49" t="s">
        <v>24</v>
      </c>
      <c r="C40" s="7">
        <v>1987</v>
      </c>
      <c r="D40" s="7">
        <v>849.5</v>
      </c>
      <c r="E40" s="7">
        <v>849.5</v>
      </c>
      <c r="F40" s="89">
        <f>F4/E56*E40</f>
        <v>48613.78321757271</v>
      </c>
      <c r="G40" s="89">
        <f>(G4/H4*E40)</f>
        <v>61256.78119950437</v>
      </c>
      <c r="H40" s="89">
        <v>5127.92</v>
      </c>
      <c r="I40" s="89">
        <f>639.95+2262.59</f>
        <v>2902.54</v>
      </c>
      <c r="J40" s="90">
        <v>0</v>
      </c>
      <c r="K40" s="87">
        <v>2379.93</v>
      </c>
      <c r="L40" s="88">
        <v>0</v>
      </c>
      <c r="M40" s="60">
        <f>M4/E56*E40</f>
        <v>69172.8666995532</v>
      </c>
      <c r="N40" s="3">
        <f t="shared" si="1"/>
        <v>37685.377777916576</v>
      </c>
      <c r="O40" s="3">
        <f t="shared" si="2"/>
        <v>189453.82111663028</v>
      </c>
      <c r="P40" s="6">
        <v>195956.33</v>
      </c>
      <c r="Q40" s="6">
        <v>160148.78</v>
      </c>
      <c r="R40" s="2">
        <f t="shared" si="0"/>
        <v>-29305.04111663028</v>
      </c>
      <c r="S40" s="4" t="s">
        <v>94</v>
      </c>
    </row>
    <row r="41" spans="1:19" s="13" customFormat="1" ht="51.75" customHeight="1" thickBot="1">
      <c r="A41" s="11">
        <v>29</v>
      </c>
      <c r="B41" s="49" t="s">
        <v>25</v>
      </c>
      <c r="C41" s="7">
        <v>1989</v>
      </c>
      <c r="D41" s="7">
        <v>856.7</v>
      </c>
      <c r="E41" s="7">
        <v>856.7</v>
      </c>
      <c r="F41" s="89">
        <f>F4/E56*E41</f>
        <v>49025.81292818663</v>
      </c>
      <c r="G41" s="89">
        <f>(G4/H4*E41)</f>
        <v>61775.96757341424</v>
      </c>
      <c r="H41" s="89">
        <v>-34.9</v>
      </c>
      <c r="I41" s="89">
        <f>402.15+2281.77</f>
        <v>2683.92</v>
      </c>
      <c r="J41" s="90">
        <v>0</v>
      </c>
      <c r="K41" s="87">
        <v>2395.95</v>
      </c>
      <c r="L41" s="88">
        <v>0</v>
      </c>
      <c r="M41" s="60">
        <f>M4/E56*E41</f>
        <v>69759.14644085607</v>
      </c>
      <c r="N41" s="3">
        <f t="shared" si="1"/>
        <v>38004.78298097839</v>
      </c>
      <c r="O41" s="3">
        <f t="shared" si="2"/>
        <v>185605.89694245695</v>
      </c>
      <c r="P41" s="6">
        <v>197863.94</v>
      </c>
      <c r="Q41" s="6">
        <v>196643.68</v>
      </c>
      <c r="R41" s="2">
        <f t="shared" si="0"/>
        <v>11037.783057543042</v>
      </c>
      <c r="S41" s="4" t="s">
        <v>95</v>
      </c>
    </row>
    <row r="42" spans="1:19" s="13" customFormat="1" ht="51.75" customHeight="1" thickBot="1">
      <c r="A42" s="11">
        <v>30</v>
      </c>
      <c r="B42" s="49" t="s">
        <v>42</v>
      </c>
      <c r="C42" s="7">
        <v>1990</v>
      </c>
      <c r="D42" s="7">
        <v>2196.6</v>
      </c>
      <c r="E42" s="7">
        <v>1196.6</v>
      </c>
      <c r="F42" s="89">
        <f>F4/E56*E42</f>
        <v>68477.04885008534</v>
      </c>
      <c r="G42" s="89">
        <f>(G4/H4*E42)</f>
        <v>86285.89097507583</v>
      </c>
      <c r="H42" s="89">
        <v>37837.6</v>
      </c>
      <c r="I42" s="89">
        <f>6336.16+3981.07</f>
        <v>10317.23</v>
      </c>
      <c r="J42" s="90">
        <v>0</v>
      </c>
      <c r="K42" s="87">
        <v>0</v>
      </c>
      <c r="L42" s="88">
        <v>0</v>
      </c>
      <c r="M42" s="60">
        <f>M4/E56*E42</f>
        <v>97436.4358948621</v>
      </c>
      <c r="N42" s="3">
        <f t="shared" si="1"/>
        <v>53083.370275520865</v>
      </c>
      <c r="O42" s="3">
        <f t="shared" si="2"/>
        <v>300354.2057200233</v>
      </c>
      <c r="P42" s="6">
        <v>296279.39</v>
      </c>
      <c r="Q42" s="6">
        <v>274894.52</v>
      </c>
      <c r="R42" s="2">
        <f t="shared" si="0"/>
        <v>-25459.68572002329</v>
      </c>
      <c r="S42" s="4" t="s">
        <v>80</v>
      </c>
    </row>
    <row r="43" spans="1:19" s="13" customFormat="1" ht="51.75" customHeight="1" thickBot="1">
      <c r="A43" s="11">
        <v>31</v>
      </c>
      <c r="B43" s="49" t="s">
        <v>43</v>
      </c>
      <c r="C43" s="7">
        <v>1990</v>
      </c>
      <c r="D43" s="14">
        <v>619</v>
      </c>
      <c r="E43" s="14">
        <v>619</v>
      </c>
      <c r="F43" s="89">
        <f>F4/E56*E43</f>
        <v>35423.10984305769</v>
      </c>
      <c r="G43" s="89">
        <f>(G4/H4*E43)</f>
        <v>44635.606312528784</v>
      </c>
      <c r="H43" s="89">
        <v>5362.42</v>
      </c>
      <c r="I43" s="89">
        <v>1648.67</v>
      </c>
      <c r="J43" s="90">
        <v>0</v>
      </c>
      <c r="K43" s="87">
        <v>0</v>
      </c>
      <c r="L43" s="88">
        <v>0</v>
      </c>
      <c r="M43" s="60">
        <f>M4/E56*E43</f>
        <v>50403.77220367679</v>
      </c>
      <c r="N43" s="3">
        <f t="shared" si="1"/>
        <v>27459.97509656311</v>
      </c>
      <c r="O43" s="3">
        <f t="shared" si="2"/>
        <v>137473.57835926325</v>
      </c>
      <c r="P43" s="6">
        <v>143092.56</v>
      </c>
      <c r="Q43" s="6">
        <v>136495.72</v>
      </c>
      <c r="R43" s="2">
        <f t="shared" si="0"/>
        <v>-977.8583592632494</v>
      </c>
      <c r="S43" s="4" t="s">
        <v>96</v>
      </c>
    </row>
    <row r="44" spans="1:19" s="13" customFormat="1" ht="51.75" customHeight="1" thickBot="1">
      <c r="A44" s="11">
        <v>32</v>
      </c>
      <c r="B44" s="49" t="s">
        <v>38</v>
      </c>
      <c r="C44" s="7">
        <v>1988</v>
      </c>
      <c r="D44" s="7">
        <v>373.2</v>
      </c>
      <c r="E44" s="7">
        <v>373.2</v>
      </c>
      <c r="F44" s="89">
        <f>F4/E56*E44</f>
        <v>21356.873333488093</v>
      </c>
      <c r="G44" s="89">
        <f>(G4/H4*E44)</f>
        <v>26911.160380994737</v>
      </c>
      <c r="H44" s="89">
        <v>1420.9</v>
      </c>
      <c r="I44" s="89">
        <v>994</v>
      </c>
      <c r="J44" s="90">
        <v>0</v>
      </c>
      <c r="K44" s="87">
        <v>1310.55</v>
      </c>
      <c r="L44" s="88">
        <v>0</v>
      </c>
      <c r="M44" s="60">
        <f>M4/E56*E44</f>
        <v>30388.833257531787</v>
      </c>
      <c r="N44" s="3">
        <f t="shared" si="1"/>
        <v>16555.836358703316</v>
      </c>
      <c r="O44" s="3">
        <f t="shared" si="2"/>
        <v>82382.31697201463</v>
      </c>
      <c r="P44" s="6">
        <v>78770.4</v>
      </c>
      <c r="Q44" s="6">
        <v>82246.84</v>
      </c>
      <c r="R44" s="2">
        <f t="shared" si="0"/>
        <v>-135.4769720146287</v>
      </c>
      <c r="S44" s="12" t="s">
        <v>76</v>
      </c>
    </row>
    <row r="45" spans="1:19" s="13" customFormat="1" ht="51.75" customHeight="1" thickBot="1">
      <c r="A45" s="11">
        <v>33</v>
      </c>
      <c r="B45" s="49" t="s">
        <v>26</v>
      </c>
      <c r="C45" s="7">
        <v>1964</v>
      </c>
      <c r="D45" s="7">
        <v>376.6</v>
      </c>
      <c r="E45" s="7">
        <v>376.6</v>
      </c>
      <c r="F45" s="89">
        <f>F4/E56*E45</f>
        <v>21551.44291905578</v>
      </c>
      <c r="G45" s="89">
        <v>0</v>
      </c>
      <c r="H45" s="89">
        <v>2133.92</v>
      </c>
      <c r="I45" s="89">
        <v>1003.05</v>
      </c>
      <c r="J45" s="90">
        <v>0</v>
      </c>
      <c r="K45" s="87">
        <v>1310.55</v>
      </c>
      <c r="L45" s="88">
        <v>0</v>
      </c>
      <c r="M45" s="60">
        <f>M4/E56*E45</f>
        <v>30665.687579813697</v>
      </c>
      <c r="N45" s="3">
        <f t="shared" si="1"/>
        <v>16706.6665934825</v>
      </c>
      <c r="O45" s="3">
        <f t="shared" si="2"/>
        <v>56664.65049886947</v>
      </c>
      <c r="P45" s="6">
        <v>55508.98</v>
      </c>
      <c r="Q45" s="6">
        <v>47525.27</v>
      </c>
      <c r="R45" s="2">
        <f t="shared" si="0"/>
        <v>-9139.380498869476</v>
      </c>
      <c r="S45" s="12"/>
    </row>
    <row r="46" spans="1:19" s="13" customFormat="1" ht="51.75" customHeight="1" thickBot="1">
      <c r="A46" s="11">
        <v>34</v>
      </c>
      <c r="B46" s="49" t="s">
        <v>27</v>
      </c>
      <c r="C46" s="7">
        <v>1954</v>
      </c>
      <c r="D46" s="7">
        <v>400.3</v>
      </c>
      <c r="E46" s="7">
        <v>400.3</v>
      </c>
      <c r="F46" s="89">
        <f>F4/E56*E46</f>
        <v>22907.707383159926</v>
      </c>
      <c r="G46" s="89">
        <v>0</v>
      </c>
      <c r="H46" s="89">
        <v>5119.26</v>
      </c>
      <c r="I46" s="89">
        <v>1066.17</v>
      </c>
      <c r="J46" s="90">
        <v>0</v>
      </c>
      <c r="K46" s="87">
        <v>2939.9</v>
      </c>
      <c r="L46" s="88">
        <v>0</v>
      </c>
      <c r="M46" s="60">
        <f>M4/E56*E46</f>
        <v>32595.525061602293</v>
      </c>
      <c r="N46" s="3">
        <f t="shared" si="1"/>
        <v>17758.042053560926</v>
      </c>
      <c r="O46" s="3">
        <f t="shared" si="2"/>
        <v>64628.562444762225</v>
      </c>
      <c r="P46" s="6">
        <v>57070.21</v>
      </c>
      <c r="Q46" s="6">
        <v>51668.07</v>
      </c>
      <c r="R46" s="2">
        <f t="shared" si="0"/>
        <v>-12960.492444762225</v>
      </c>
      <c r="S46" s="12"/>
    </row>
    <row r="47" spans="1:19" s="13" customFormat="1" ht="51.75" customHeight="1" thickBot="1">
      <c r="A47" s="11">
        <v>35</v>
      </c>
      <c r="B47" s="49" t="s">
        <v>29</v>
      </c>
      <c r="C47" s="7">
        <v>1970</v>
      </c>
      <c r="D47" s="7">
        <v>708.6</v>
      </c>
      <c r="E47" s="7">
        <v>708.6</v>
      </c>
      <c r="F47" s="89">
        <f>F4/E56*E47</f>
        <v>40550.59068625312</v>
      </c>
      <c r="G47" s="89">
        <v>0</v>
      </c>
      <c r="H47" s="89">
        <v>3348.18</v>
      </c>
      <c r="I47" s="89">
        <v>1887.31</v>
      </c>
      <c r="J47" s="90">
        <v>0</v>
      </c>
      <c r="K47" s="87">
        <v>2674.52</v>
      </c>
      <c r="L47" s="88">
        <v>0</v>
      </c>
      <c r="M47" s="60">
        <f>M4/E56*E47</f>
        <v>57699.697873223544</v>
      </c>
      <c r="N47" s="3">
        <f t="shared" si="1"/>
        <v>31434.795401332183</v>
      </c>
      <c r="O47" s="3">
        <f t="shared" si="2"/>
        <v>106160.29855947665</v>
      </c>
      <c r="P47" s="6">
        <v>124257.56</v>
      </c>
      <c r="Q47" s="6">
        <v>122371.73</v>
      </c>
      <c r="R47" s="2">
        <f t="shared" si="0"/>
        <v>16211.431440523345</v>
      </c>
      <c r="S47" s="12" t="s">
        <v>69</v>
      </c>
    </row>
    <row r="48" spans="1:19" s="13" customFormat="1" ht="51.75" customHeight="1" thickBot="1">
      <c r="A48" s="11">
        <v>36</v>
      </c>
      <c r="B48" s="49" t="s">
        <v>30</v>
      </c>
      <c r="C48" s="7">
        <v>1983</v>
      </c>
      <c r="D48" s="7">
        <v>383.1</v>
      </c>
      <c r="E48" s="7">
        <v>383.1</v>
      </c>
      <c r="F48" s="89">
        <f>F4/E56*E48</f>
        <v>21923.41418558223</v>
      </c>
      <c r="G48" s="89">
        <f>(G4/H4*E48)</f>
        <v>27625.041645120808</v>
      </c>
      <c r="H48" s="89">
        <v>700.42</v>
      </c>
      <c r="I48" s="89">
        <f>1020.36</f>
        <v>1020.36</v>
      </c>
      <c r="J48" s="90">
        <v>0</v>
      </c>
      <c r="K48" s="87">
        <v>1107.59</v>
      </c>
      <c r="L48" s="88">
        <v>0</v>
      </c>
      <c r="M48" s="60">
        <f>M4/E56*E48</f>
        <v>31194.967901823227</v>
      </c>
      <c r="N48" s="3">
        <f t="shared" si="1"/>
        <v>16995.01851291329</v>
      </c>
      <c r="O48" s="3">
        <f t="shared" si="2"/>
        <v>83571.79373252626</v>
      </c>
      <c r="P48" s="6">
        <v>88764.36</v>
      </c>
      <c r="Q48" s="6">
        <v>86924.81</v>
      </c>
      <c r="R48" s="2">
        <f t="shared" si="0"/>
        <v>3353.0162674737367</v>
      </c>
      <c r="S48" s="12" t="s">
        <v>70</v>
      </c>
    </row>
    <row r="49" spans="1:19" s="13" customFormat="1" ht="50.25" customHeight="1" thickBot="1">
      <c r="A49" s="11">
        <v>37</v>
      </c>
      <c r="B49" s="49" t="s">
        <v>31</v>
      </c>
      <c r="C49" s="7">
        <v>1987</v>
      </c>
      <c r="D49" s="7">
        <v>4309.4</v>
      </c>
      <c r="E49" s="7">
        <v>4309.4</v>
      </c>
      <c r="F49" s="89">
        <f>F4/E56*E49</f>
        <v>246611.2270721693</v>
      </c>
      <c r="G49" s="89">
        <f>(G4/H4*E49)</f>
        <v>310747.4666287747</v>
      </c>
      <c r="H49" s="89">
        <v>19750.9</v>
      </c>
      <c r="I49" s="89">
        <f>7856.31+12774.82</f>
        <v>20631.13</v>
      </c>
      <c r="J49" s="90">
        <v>0</v>
      </c>
      <c r="K49" s="87">
        <v>10541.86</v>
      </c>
      <c r="L49" s="88">
        <v>0</v>
      </c>
      <c r="M49" s="60">
        <f>M4/E56*E49</f>
        <v>350904.71071813366</v>
      </c>
      <c r="N49" s="3">
        <f t="shared" si="1"/>
        <v>191172.8863992392</v>
      </c>
      <c r="O49" s="3">
        <f t="shared" si="2"/>
        <v>959187.2944190777</v>
      </c>
      <c r="P49" s="6">
        <v>1007601.89</v>
      </c>
      <c r="Q49" s="6">
        <v>985868.43</v>
      </c>
      <c r="R49" s="2">
        <f t="shared" si="0"/>
        <v>26681.13558092236</v>
      </c>
      <c r="S49" s="4" t="s">
        <v>81</v>
      </c>
    </row>
    <row r="50" spans="1:19" s="13" customFormat="1" ht="50.25" customHeight="1" thickBot="1">
      <c r="A50" s="11">
        <v>38</v>
      </c>
      <c r="B50" s="49" t="s">
        <v>32</v>
      </c>
      <c r="C50" s="7">
        <v>1986</v>
      </c>
      <c r="D50" s="7">
        <v>841.6</v>
      </c>
      <c r="E50" s="7">
        <v>841.6</v>
      </c>
      <c r="F50" s="89">
        <f>F4/E56*E50</f>
        <v>48161.69506287133</v>
      </c>
      <c r="G50" s="89">
        <f>(G4/H4*E50)</f>
        <v>60687.11837257549</v>
      </c>
      <c r="H50" s="89">
        <v>3006.54</v>
      </c>
      <c r="I50" s="89">
        <f>2277.01+2241.55</f>
        <v>4518.56</v>
      </c>
      <c r="J50" s="90">
        <v>0</v>
      </c>
      <c r="K50" s="87">
        <v>2379.93</v>
      </c>
      <c r="L50" s="88">
        <v>0</v>
      </c>
      <c r="M50" s="60">
        <f>M4/E56*E50</f>
        <v>68529.587538957</v>
      </c>
      <c r="N50" s="3">
        <f t="shared" si="1"/>
        <v>37334.91929122377</v>
      </c>
      <c r="O50" s="3">
        <f t="shared" si="2"/>
        <v>187283.4309744038</v>
      </c>
      <c r="P50" s="6">
        <v>195150.66</v>
      </c>
      <c r="Q50" s="6">
        <v>191014.06</v>
      </c>
      <c r="R50" s="2">
        <f t="shared" si="0"/>
        <v>3730.629025596194</v>
      </c>
      <c r="S50" s="4" t="s">
        <v>82</v>
      </c>
    </row>
    <row r="51" spans="1:20" s="13" customFormat="1" ht="50.25" customHeight="1" thickBot="1">
      <c r="A51" s="11">
        <v>39</v>
      </c>
      <c r="B51" s="49" t="s">
        <v>33</v>
      </c>
      <c r="C51" s="7">
        <v>1987</v>
      </c>
      <c r="D51" s="7">
        <v>872.5</v>
      </c>
      <c r="E51" s="7">
        <v>871.2</v>
      </c>
      <c r="F51" s="89">
        <f>F4/E56*E51</f>
        <v>49855.59498428411</v>
      </c>
      <c r="G51" s="89">
        <f>(G4/H4*E51)</f>
        <v>62821.55124309383</v>
      </c>
      <c r="H51" s="89">
        <v>-1892.84</v>
      </c>
      <c r="I51" s="89">
        <f>3506.97+2323.85</f>
        <v>5830.82</v>
      </c>
      <c r="J51" s="90">
        <v>0</v>
      </c>
      <c r="K51" s="87">
        <v>2379.93</v>
      </c>
      <c r="L51" s="88">
        <v>0</v>
      </c>
      <c r="M51" s="60">
        <f>M4/E56*E51</f>
        <v>70939.84869764656</v>
      </c>
      <c r="N51" s="3">
        <f t="shared" si="1"/>
        <v>38648.02957047785</v>
      </c>
      <c r="O51" s="3">
        <f t="shared" si="2"/>
        <v>189934.9049250245</v>
      </c>
      <c r="P51" s="6">
        <v>202011.62</v>
      </c>
      <c r="Q51" s="6">
        <v>201479.94</v>
      </c>
      <c r="R51" s="2">
        <f t="shared" si="0"/>
        <v>11545.035074975516</v>
      </c>
      <c r="S51" s="4" t="s">
        <v>87</v>
      </c>
      <c r="T51" s="13" t="s">
        <v>84</v>
      </c>
    </row>
    <row r="52" spans="1:19" s="13" customFormat="1" ht="50.25" customHeight="1" thickBot="1">
      <c r="A52" s="11">
        <v>40</v>
      </c>
      <c r="B52" s="49" t="s">
        <v>34</v>
      </c>
      <c r="C52" s="7">
        <v>1983</v>
      </c>
      <c r="D52" s="7">
        <v>826.2</v>
      </c>
      <c r="E52" s="7">
        <v>826.2</v>
      </c>
      <c r="F52" s="89">
        <f>F4/E56*E52</f>
        <v>47280.409292947115</v>
      </c>
      <c r="G52" s="89">
        <f>(G4/H4*E52)</f>
        <v>59576.636406157166</v>
      </c>
      <c r="H52" s="89">
        <v>-745.08</v>
      </c>
      <c r="I52" s="89">
        <f>3278.73+2200.53</f>
        <v>5479.26</v>
      </c>
      <c r="J52" s="90">
        <v>0</v>
      </c>
      <c r="K52" s="87">
        <v>2379.93</v>
      </c>
      <c r="L52" s="88">
        <v>0</v>
      </c>
      <c r="M52" s="60">
        <f>M4/E56*E52</f>
        <v>67275.60031450365</v>
      </c>
      <c r="N52" s="3">
        <f t="shared" si="1"/>
        <v>36651.74705134158</v>
      </c>
      <c r="O52" s="3">
        <f t="shared" si="2"/>
        <v>181246.75601360793</v>
      </c>
      <c r="P52" s="6">
        <v>192124.1</v>
      </c>
      <c r="Q52" s="6">
        <v>196947.55</v>
      </c>
      <c r="R52" s="2">
        <f t="shared" si="0"/>
        <v>15700.793986392062</v>
      </c>
      <c r="S52" s="4" t="s">
        <v>99</v>
      </c>
    </row>
    <row r="53" spans="1:19" s="13" customFormat="1" ht="50.25" customHeight="1" thickBot="1">
      <c r="A53" s="11">
        <v>41</v>
      </c>
      <c r="B53" s="49" t="s">
        <v>35</v>
      </c>
      <c r="C53" s="7">
        <v>1987</v>
      </c>
      <c r="D53" s="7">
        <v>4280.1</v>
      </c>
      <c r="E53" s="7">
        <v>4290.6</v>
      </c>
      <c r="F53" s="89">
        <f>F4/E56*E53</f>
        <v>245535.37171667744</v>
      </c>
      <c r="G53" s="89">
        <f>(G4/H4*E53)</f>
        <v>309391.8133191212</v>
      </c>
      <c r="H53" s="89">
        <v>19924.22</v>
      </c>
      <c r="I53" s="89">
        <f>11158.54+14675.34</f>
        <v>25833.88</v>
      </c>
      <c r="J53" s="90">
        <v>0</v>
      </c>
      <c r="K53" s="87">
        <v>10541.87</v>
      </c>
      <c r="L53" s="88">
        <v>0</v>
      </c>
      <c r="M53" s="60">
        <f>M4/E56*E53</f>
        <v>349373.86917139846</v>
      </c>
      <c r="N53" s="3">
        <f t="shared" si="1"/>
        <v>190338.88392457785</v>
      </c>
      <c r="O53" s="3">
        <f t="shared" si="2"/>
        <v>960601.0242071971</v>
      </c>
      <c r="P53" s="6">
        <v>998439.94</v>
      </c>
      <c r="Q53" s="6">
        <v>977948.67</v>
      </c>
      <c r="R53" s="2">
        <f t="shared" si="0"/>
        <v>17347.645792802912</v>
      </c>
      <c r="S53" s="4" t="s">
        <v>83</v>
      </c>
    </row>
    <row r="54" spans="1:19" s="13" customFormat="1" ht="50.25" customHeight="1" thickBot="1">
      <c r="A54" s="11">
        <v>42</v>
      </c>
      <c r="B54" s="49" t="s">
        <v>36</v>
      </c>
      <c r="C54" s="16">
        <v>1985</v>
      </c>
      <c r="D54" s="16">
        <v>4234.9</v>
      </c>
      <c r="E54" s="16">
        <v>4234.9</v>
      </c>
      <c r="F54" s="6">
        <f>F4/E56*E54</f>
        <v>242347.86409428917</v>
      </c>
      <c r="G54" s="6">
        <f>(G4/H4*E54)</f>
        <v>305375.32984317956</v>
      </c>
      <c r="H54" s="6">
        <v>19175.04</v>
      </c>
      <c r="I54" s="6">
        <f>18400.22+24329.9</f>
        <v>42730.12</v>
      </c>
      <c r="J54" s="90">
        <v>0</v>
      </c>
      <c r="K54" s="87">
        <v>10541.87</v>
      </c>
      <c r="L54" s="88">
        <v>0</v>
      </c>
      <c r="M54" s="60">
        <f>M4/E56*E54</f>
        <v>344838.343950486</v>
      </c>
      <c r="N54" s="6">
        <f t="shared" si="1"/>
        <v>187867.92978422475</v>
      </c>
      <c r="O54" s="6">
        <f t="shared" si="2"/>
        <v>965008.5678879546</v>
      </c>
      <c r="P54" s="6">
        <v>986315.31</v>
      </c>
      <c r="Q54" s="6">
        <v>939950.08</v>
      </c>
      <c r="R54" s="2">
        <f t="shared" si="0"/>
        <v>-25058.48788795469</v>
      </c>
      <c r="S54" s="12" t="s">
        <v>71</v>
      </c>
    </row>
    <row r="55" spans="1:19" s="13" customFormat="1" ht="50.25" customHeight="1" thickBot="1">
      <c r="A55" s="11">
        <v>43</v>
      </c>
      <c r="B55" s="49" t="s">
        <v>37</v>
      </c>
      <c r="C55" s="7">
        <v>1986</v>
      </c>
      <c r="D55" s="7">
        <v>843.8</v>
      </c>
      <c r="E55" s="7">
        <v>843.8</v>
      </c>
      <c r="F55" s="89">
        <f>F4/E56*E55</f>
        <v>48287.59303000336</v>
      </c>
      <c r="G55" s="89">
        <f>(G4/H4*E55)</f>
        <v>60845.75865349239</v>
      </c>
      <c r="H55" s="89">
        <v>7625.96</v>
      </c>
      <c r="I55" s="89">
        <f>1193.89+2247.41</f>
        <v>3441.3</v>
      </c>
      <c r="J55" s="90">
        <v>0</v>
      </c>
      <c r="K55" s="87">
        <v>2379.93</v>
      </c>
      <c r="L55" s="88">
        <v>0</v>
      </c>
      <c r="M55" s="60">
        <f>M4/E56*E55</f>
        <v>68708.72857102177</v>
      </c>
      <c r="N55" s="3">
        <f t="shared" si="1"/>
        <v>37432.515325492655</v>
      </c>
      <c r="O55" s="3">
        <f t="shared" si="2"/>
        <v>191289.2702545175</v>
      </c>
      <c r="P55" s="6">
        <v>195570.04</v>
      </c>
      <c r="Q55" s="6">
        <v>200029.03</v>
      </c>
      <c r="R55" s="2">
        <f t="shared" si="0"/>
        <v>8739.7597454825</v>
      </c>
      <c r="S55" s="12" t="s">
        <v>72</v>
      </c>
    </row>
    <row r="56" spans="1:19" s="1" customFormat="1" ht="50.25" customHeight="1" thickBot="1">
      <c r="A56" s="20"/>
      <c r="B56" s="49" t="s">
        <v>65</v>
      </c>
      <c r="C56" s="21"/>
      <c r="D56" s="22">
        <f>SUM(D13:D55)</f>
        <v>65606.90000000001</v>
      </c>
      <c r="E56" s="2">
        <f aca="true" t="shared" si="3" ref="E56:L56">SUM(E13:E55)</f>
        <v>64616.100000000006</v>
      </c>
      <c r="F56" s="2">
        <f>SUM(F13:F55)</f>
        <v>3697743.47</v>
      </c>
      <c r="G56" s="2">
        <f t="shared" si="3"/>
        <v>4539253.678015821</v>
      </c>
      <c r="H56" s="2">
        <f>SUM(H13:H55)</f>
        <v>426488.6699999999</v>
      </c>
      <c r="I56" s="2">
        <f t="shared" si="3"/>
        <v>417045.5699999999</v>
      </c>
      <c r="J56" s="92">
        <f t="shared" si="3"/>
        <v>377356.43</v>
      </c>
      <c r="K56" s="92">
        <f t="shared" si="3"/>
        <v>167924.22999999992</v>
      </c>
      <c r="L56" s="92">
        <f t="shared" si="3"/>
        <v>14500</v>
      </c>
      <c r="M56" s="2">
        <f aca="true" t="shared" si="4" ref="M56:R56">SUM(M13:M55)</f>
        <v>5261543.109999999</v>
      </c>
      <c r="N56" s="2">
        <f t="shared" si="4"/>
        <v>2866488.686328</v>
      </c>
      <c r="O56" s="2">
        <f t="shared" si="4"/>
        <v>14901855.158015821</v>
      </c>
      <c r="P56" s="2">
        <f t="shared" si="4"/>
        <v>14901281.310000002</v>
      </c>
      <c r="Q56" s="2">
        <f t="shared" si="4"/>
        <v>14150331.91</v>
      </c>
      <c r="R56" s="2">
        <f t="shared" si="4"/>
        <v>-751523.2480158207</v>
      </c>
      <c r="S56" s="12"/>
    </row>
    <row r="57" spans="1:19" ht="50.25" customHeight="1">
      <c r="A57" s="66" t="s">
        <v>64</v>
      </c>
      <c r="B57" s="66"/>
      <c r="C57" s="66"/>
      <c r="D57" s="66"/>
      <c r="E57" s="66"/>
      <c r="F57" s="66"/>
      <c r="G57" s="66"/>
      <c r="H57" s="66"/>
      <c r="I57" s="66"/>
      <c r="J57" s="67"/>
      <c r="K57" s="66"/>
      <c r="L57" s="66"/>
      <c r="M57" s="66"/>
      <c r="N57" s="66"/>
      <c r="O57" s="66"/>
      <c r="P57" s="66"/>
      <c r="Q57" s="66"/>
      <c r="R57" s="66"/>
      <c r="S57" s="66"/>
    </row>
    <row r="58" spans="1:5" ht="34.5" customHeight="1">
      <c r="A58" s="28" t="s">
        <v>109</v>
      </c>
      <c r="B58" s="29"/>
      <c r="C58" s="30"/>
      <c r="D58" s="30"/>
      <c r="E58" s="31"/>
    </row>
    <row r="59" spans="1:5" ht="34.5" customHeight="1">
      <c r="A59" s="28" t="s">
        <v>73</v>
      </c>
      <c r="B59" s="29"/>
      <c r="C59" s="30"/>
      <c r="D59" s="30"/>
      <c r="E59" s="31"/>
    </row>
    <row r="60" spans="1:5" ht="51.75" customHeight="1">
      <c r="A60" s="28" t="s">
        <v>108</v>
      </c>
      <c r="B60" s="29"/>
      <c r="C60" s="30"/>
      <c r="D60" s="30"/>
      <c r="E60" s="31"/>
    </row>
    <row r="61" spans="1:5" ht="51.75" customHeight="1">
      <c r="A61" s="32"/>
      <c r="B61" s="29"/>
      <c r="C61" s="30"/>
      <c r="D61" s="30"/>
      <c r="E61" s="31"/>
    </row>
    <row r="62" spans="1:5" ht="51.75" customHeight="1">
      <c r="A62" s="33"/>
      <c r="B62" s="34"/>
      <c r="C62" s="35"/>
      <c r="D62" s="35"/>
      <c r="E62" s="36"/>
    </row>
    <row r="63" spans="2:5" ht="51.75" customHeight="1">
      <c r="B63" s="37"/>
      <c r="C63" s="37"/>
      <c r="D63" s="37"/>
      <c r="E63" s="37"/>
    </row>
    <row r="64" spans="2:5" ht="51.75" customHeight="1">
      <c r="B64" s="37"/>
      <c r="C64" s="37"/>
      <c r="D64" s="37"/>
      <c r="E64" s="37"/>
    </row>
  </sheetData>
  <sheetProtection/>
  <mergeCells count="22">
    <mergeCell ref="S8:S11"/>
    <mergeCell ref="A8:R8"/>
    <mergeCell ref="A9:E9"/>
    <mergeCell ref="D10:D11"/>
    <mergeCell ref="A10:A11"/>
    <mergeCell ref="R10:R11"/>
    <mergeCell ref="B10:B11"/>
    <mergeCell ref="O10:O11"/>
    <mergeCell ref="H10:H11"/>
    <mergeCell ref="F9:R9"/>
    <mergeCell ref="J10:J11"/>
    <mergeCell ref="M10:N10"/>
    <mergeCell ref="I10:I11"/>
    <mergeCell ref="F10:F11"/>
    <mergeCell ref="G10:G11"/>
    <mergeCell ref="L10:L11"/>
    <mergeCell ref="A57:S57"/>
    <mergeCell ref="C10:C11"/>
    <mergeCell ref="E10:E11"/>
    <mergeCell ref="P10:P11"/>
    <mergeCell ref="Q10:Q11"/>
    <mergeCell ref="K10:K11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56" max="16" man="1"/>
  </rowBreaks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2021-03-29T11:42:24Z</cp:lastPrinted>
  <dcterms:created xsi:type="dcterms:W3CDTF">2011-01-17T06:18:12Z</dcterms:created>
  <dcterms:modified xsi:type="dcterms:W3CDTF">2023-03-22T08:06:37Z</dcterms:modified>
  <cp:category/>
  <cp:version/>
  <cp:contentType/>
  <cp:contentStatus/>
</cp:coreProperties>
</file>